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UTZXI34bf7bGniJiZfN1AssYC3x3RsTJdn5IGAzZcATc6C5hfKeCmbmLHY3HN8Crhl2tvf0aurRkZDirRCdXA==" workbookSaltValue="UdPcnsx52bT+Iq6HigFO8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BA13" i="16"/>
  <c r="E17" i="3"/>
  <c r="F16" i="10"/>
  <c r="E10" i="6"/>
  <c r="ES19" i="8"/>
  <c r="G18" i="12"/>
  <c r="W19" i="8"/>
  <c r="R8" i="9"/>
  <c r="BH9" i="16" s="1"/>
  <c r="R19" i="8"/>
  <c r="EP19" i="8"/>
  <c r="EP19" i="19"/>
  <c r="BL17" i="11"/>
  <c r="S13" i="16"/>
  <c r="P13" i="16"/>
  <c r="W13" i="20"/>
  <c r="AO12" i="11"/>
  <c r="H13" i="12"/>
  <c r="F13" i="7"/>
  <c r="AJ19" i="8"/>
  <c r="AZ17" i="11"/>
  <c r="BL11" i="11"/>
  <c r="BV16" i="16"/>
  <c r="BV9" i="16"/>
  <c r="T13" i="16"/>
  <c r="AZ12" i="11"/>
  <c r="BJ10" i="11"/>
  <c r="BL16" i="11"/>
  <c r="BG15" i="8"/>
  <c r="BD9" i="8"/>
  <c r="BE9" i="8"/>
  <c r="L12" i="2"/>
  <c r="AP13" i="16"/>
  <c r="F11" i="11"/>
  <c r="AQ11" i="11" s="1"/>
  <c r="T18" i="17"/>
  <c r="BF15" i="13"/>
  <c r="BE16" i="13"/>
  <c r="BF16" i="13"/>
  <c r="AK20" i="20"/>
  <c r="T20" i="20"/>
  <c r="O16" i="11"/>
  <c r="Z20" i="20"/>
  <c r="H20" i="20"/>
  <c r="G18" i="14"/>
  <c r="AG19" i="8" l="1"/>
  <c r="O19" i="8"/>
  <c r="I19" i="8"/>
  <c r="BE12" i="8"/>
  <c r="I12" i="7" s="1"/>
  <c r="BD12" i="8"/>
  <c r="B12" i="6"/>
  <c r="L11" i="14"/>
  <c r="M18" i="2"/>
  <c r="T11" i="11"/>
  <c r="Q17" i="17"/>
  <c r="BU9" i="17"/>
  <c r="T15" i="16"/>
  <c r="BJ11" i="11"/>
  <c r="BJ17" i="11"/>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<sst xmlns="http://schemas.openxmlformats.org/spreadsheetml/2006/main" count="2094" uniqueCount="914">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</sst>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mK/g6khKUsyyLAUJV4583bKltYS7jLnLcU6uQuwGAud5zlMHld7NDYYtVcn31R25M6L7+rG3fstYBctowlaPA==" saltValue="STpZ8yfqm3JYlMVVWgDq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71</v>
      </c>
      <c r="D10" s="225">
        <f>IF(ISNUMBER(Datos!I10),Datos!I10," - ")</f>
        <v>71</v>
      </c>
      <c r="E10" s="226">
        <f>IF(ISNUMBER(Datos!J10),Datos!J10," - ")</f>
        <v>16</v>
      </c>
      <c r="F10" s="226">
        <f>IF(ISNUMBER(Datos!K10),Datos!K10," - ")</f>
        <v>14</v>
      </c>
      <c r="G10" s="1034" t="str">
        <f>IF(Datos!E10&lt;&gt;"",Datos!E10,Datos!D10)</f>
        <v>37</v>
      </c>
      <c r="H10" s="227">
        <f>IF(ISNUMBER(Datos!L10),Datos!L10," - ")</f>
        <v>73</v>
      </c>
      <c r="I10" s="1044" t="str">
        <f>IF(ISNUMBER(Datos!AS10/Datos!BM10),Datos!AS10/Datos!BM10," - ")</f>
        <v xml:space="preserve"> - </v>
      </c>
      <c r="J10" s="1045">
        <f>IF(ISNUMBER(Datos!BY10/Datos!CN10),Datos!BY10/Datos!CN10," - ")</f>
        <v>0</v>
      </c>
      <c r="K10" s="230">
        <f t="shared" ref="K10:K12" si="1">IF(ISNUMBER((E10-F10)/C10),(E10-F10)/C10," - ")</f>
        <v>2.8169014084507043E-2</v>
      </c>
      <c r="L10" s="1025">
        <f>IF(ISNUMBER(NºAsuntos!I10/NºAsuntos!G10),(NºAsuntos!I10/NºAsuntos!G10)*11," - ")</f>
        <v>57.357142857142861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53.691075514874143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71</v>
      </c>
      <c r="D13" s="1049">
        <f>SUBTOTAL(9,D9:D12)</f>
        <v>71</v>
      </c>
      <c r="E13" s="1050">
        <f>SUBTOTAL(9,E9:E12)</f>
        <v>16</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1948</v>
      </c>
      <c r="D16" s="225">
        <f>IF(ISNUMBER(IF(D_I="SI",Datos!I16,Datos!I16+Datos!AC16)),IF(D_I="SI",Datos!I16,Datos!I16+Datos!AC16)," - ")</f>
        <v>1987</v>
      </c>
      <c r="E16" s="226">
        <f>IF(ISNUMBER(IF(D_I="SI",Datos!J16,Datos!J16+Datos!AD16)),IF(D_I="SI",Datos!J16,Datos!J16+Datos!AD16)," - ")</f>
        <v>952</v>
      </c>
      <c r="F16" s="226">
        <f>IF(ISNUMBER(IF(D_I="SI",Datos!K16,Datos!K16+Datos!AE16)),IF(D_I="SI",Datos!K16,Datos!K16+Datos!AE16)," - ")</f>
        <v>979</v>
      </c>
      <c r="G16" s="1034" t="str">
        <f>IF(Datos!E16&lt;&gt;"",Datos!E16,Datos!D16)</f>
        <v>04</v>
      </c>
      <c r="H16" s="227">
        <f>IF(ISNUMBER(IF(D_I="SI",Datos!L16,Datos!L16+Datos!AF16)),IF(D_I="SI",Datos!L16,Datos!L16+Datos!AF16)," - ")</f>
        <v>1921</v>
      </c>
      <c r="I16" s="1044" t="str">
        <f>IF(ISNUMBER(Datos!AS16/Datos!BM16),Datos!AS16/Datos!BM16," - ")</f>
        <v xml:space="preserve"> - </v>
      </c>
      <c r="J16" s="1045">
        <f>IF(ISNUMBER(Datos!BY16/Datos!CN16),Datos!BY16/Datos!CN16," - ")</f>
        <v>0</v>
      </c>
      <c r="K16" s="230">
        <f t="shared" si="3"/>
        <v>-1.3860369609856264E-2</v>
      </c>
      <c r="L16" s="1025">
        <f>IF(ISNUMBER(NºAsuntos!I16/NºAsuntos!G16),(NºAsuntos!I16/NºAsuntos!G16)*11," - ")</f>
        <v>21.584269662921347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158</v>
      </c>
      <c r="D17" s="225">
        <f>IF(ISNUMBER(IF(D_I="SI",Datos!I17,Datos!I17+Datos!AC17)),IF(D_I="SI",Datos!I17,Datos!I17+Datos!AC17)," - ")</f>
        <v>158</v>
      </c>
      <c r="E17" s="226">
        <f>IF(ISNUMBER(IF(D_I="SI",Datos!J17,Datos!J17+Datos!AD17)),IF(D_I="SI",Datos!J17,Datos!J17+Datos!AD17)," - ")</f>
        <v>107</v>
      </c>
      <c r="F17" s="226">
        <f>IF(ISNUMBER(IF(D_I="SI",Datos!K17,Datos!K17+Datos!AE17)),IF(D_I="SI",Datos!K17,Datos!K17+Datos!AE17)," - ")</f>
        <v>102</v>
      </c>
      <c r="G17" s="1034" t="str">
        <f>IF(Datos!E17&lt;&gt;"",Datos!E17,Datos!D17)</f>
        <v>37</v>
      </c>
      <c r="H17" s="227">
        <f>IF(ISNUMBER(IF(D_I="SI",Datos!L17,Datos!L17+Datos!AF17)),IF(D_I="SI",Datos!L17,Datos!L17+Datos!AF17)," - ")</f>
        <v>163</v>
      </c>
      <c r="I17" s="1044" t="str">
        <f>IF(ISNUMBER(Datos!AS17/Datos!BM17),Datos!AS17/Datos!BM17," - ")</f>
        <v xml:space="preserve"> - </v>
      </c>
      <c r="J17" s="1045" t="str">
        <f>IF(ISNUMBER((Datos!BY17+Datos!BZ17)/Datos!CN17),(Datos!BY17+Datos!BZ17)/Datos!CN17," - ")</f>
        <v xml:space="preserve"> - </v>
      </c>
      <c r="K17" s="230">
        <f t="shared" si="3"/>
        <v>3.1645569620253167E-2</v>
      </c>
      <c r="L17" s="1025">
        <f>IF(ISNUMBER(NºAsuntos!I17/NºAsuntos!G17),(NºAsuntos!I17/NºAsuntos!G17)*11," - ")</f>
        <v>17.578431372549019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2106</v>
      </c>
      <c r="D18" s="1049">
        <f>SUBTOTAL(9,D15:D17)</f>
        <v>2145</v>
      </c>
      <c r="E18" s="1050">
        <f>SUBTOTAL(9,E15:E17)</f>
        <v>1059</v>
      </c>
      <c r="F18" s="1050">
        <f>SUBTOTAL(9,F15:F17)</f>
        <v>1081</v>
      </c>
      <c r="G18" s="1052" t="str">
        <f ca="1">INDIRECT(CONCATENATE("G",ROW()-1))</f>
        <v>37</v>
      </c>
      <c r="H18" s="1053">
        <f ca="1">SUMIF(G$14:G17,G18,H$14:H17)</f>
        <v>163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2177</v>
      </c>
      <c r="D19" s="1071">
        <f>SUBTOTAL(9,D9:D18)</f>
        <v>2216</v>
      </c>
      <c r="E19" s="1072">
        <f>SUBTOTAL(9,E9:E18)</f>
        <v>1075</v>
      </c>
      <c r="F19" s="1072">
        <f>SUBTOTAL(9,F9:F18)</f>
        <v>1095</v>
      </c>
      <c r="G19" s="1073"/>
      <c r="H19" s="1074">
        <f ca="1">SUMIF(B9:B18,"TOTAL",H9:H18)</f>
        <v>163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STHi4lFhLuMRh4alIGnZ0ajL2es7k/uZmRjoWchzqhvneA9IMw3yQaQzA6T8VdhO1f+ojlTzMkk/qqk798sxQ==" saltValue="OD8/WnvlW+UMwTs0P/Tz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CgtIo8KM+YJPEBpfy2uqsvvQdRDZK8X5dxI2xHApQZWMJHEAub9qXSbkU1aKtXMktQadeN/4UdK1ExbXfMjAw==" saltValue="d2fwcZ2ETfAfFt7Vs/uS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71</v>
      </c>
      <c r="J10" s="181">
        <v>16</v>
      </c>
      <c r="K10" s="181">
        <v>14</v>
      </c>
      <c r="L10" s="181">
        <v>73</v>
      </c>
      <c r="M10" s="181">
        <v>3</v>
      </c>
      <c r="N10" s="181">
        <v>0</v>
      </c>
      <c r="O10" s="181">
        <v>1</v>
      </c>
      <c r="P10" s="181">
        <v>3</v>
      </c>
      <c r="Q10" s="181">
        <v>0</v>
      </c>
      <c r="R10" s="181">
        <v>25</v>
      </c>
      <c r="S10" s="181">
        <v>67</v>
      </c>
      <c r="T10" s="181">
        <v>10</v>
      </c>
      <c r="U10" s="181">
        <v>12</v>
      </c>
      <c r="V10" s="181">
        <v>65</v>
      </c>
      <c r="W10" s="181">
        <v>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67</v>
      </c>
      <c r="AZ10" s="129">
        <f t="shared" si="0"/>
        <v>10</v>
      </c>
      <c r="BA10" s="129">
        <f t="shared" si="0"/>
        <v>12</v>
      </c>
      <c r="BB10" s="129">
        <f t="shared" si="0"/>
        <v>65</v>
      </c>
      <c r="BC10" s="125">
        <f t="shared" si="0"/>
        <v>5</v>
      </c>
      <c r="BD10" s="126">
        <f>IF(ISNUMBER(BA10/AZ10),BA10/AZ10," - ")</f>
        <v>1.2</v>
      </c>
      <c r="BE10" s="127">
        <f>IF(ISNUMBER(BB10/BA10),BB10/BA10, " - ")</f>
        <v>5.416666666666667</v>
      </c>
      <c r="BF10" s="127">
        <f>IF(ISNUMBER(BC10/BA10),BC10/BA10, " - ")</f>
        <v>0.41666666666666669</v>
      </c>
      <c r="BG10" s="196">
        <f>IF(ISNUMBER((AY10+AZ10)/BA10),(AY10+AZ10)/BA10," - ")</f>
        <v>6.416666666666667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3983</v>
      </c>
      <c r="J12" s="183">
        <v>860</v>
      </c>
      <c r="K12" s="183">
        <v>811</v>
      </c>
      <c r="L12" s="183">
        <v>4126</v>
      </c>
      <c r="M12" s="183">
        <v>131</v>
      </c>
      <c r="N12" s="183">
        <v>335</v>
      </c>
      <c r="O12" s="181">
        <v>463</v>
      </c>
      <c r="P12" s="183">
        <v>180</v>
      </c>
      <c r="Q12" s="183">
        <v>67</v>
      </c>
      <c r="R12" s="183">
        <v>3216</v>
      </c>
      <c r="S12" s="183">
        <v>2676</v>
      </c>
      <c r="T12" s="183">
        <v>792</v>
      </c>
      <c r="U12" s="183">
        <v>522</v>
      </c>
      <c r="V12" s="183">
        <v>2945</v>
      </c>
      <c r="W12" s="183">
        <v>125</v>
      </c>
      <c r="X12" s="189">
        <v>181</v>
      </c>
      <c r="Y12" s="191">
        <v>126</v>
      </c>
      <c r="Z12" s="181">
        <v>72</v>
      </c>
      <c r="AA12" s="181">
        <v>63</v>
      </c>
      <c r="AB12" s="181">
        <v>140</v>
      </c>
      <c r="AC12" s="183">
        <v>0</v>
      </c>
      <c r="AD12" s="183">
        <v>0</v>
      </c>
      <c r="AE12" s="183">
        <v>0</v>
      </c>
      <c r="AF12" s="189">
        <v>0</v>
      </c>
      <c r="AG12" s="202">
        <v>128</v>
      </c>
      <c r="AH12" s="183">
        <v>65</v>
      </c>
      <c r="AI12" s="183">
        <v>64</v>
      </c>
      <c r="AJ12" s="203">
        <v>129</v>
      </c>
      <c r="AK12" s="182">
        <v>0</v>
      </c>
      <c r="AL12" s="183">
        <v>0</v>
      </c>
      <c r="AM12" s="183">
        <v>0</v>
      </c>
      <c r="AN12" s="189">
        <v>0</v>
      </c>
      <c r="AO12" s="259">
        <v>4</v>
      </c>
      <c r="AP12" s="155">
        <v>4</v>
      </c>
      <c r="AQ12" s="155">
        <v>4</v>
      </c>
      <c r="AR12" s="154">
        <v>4</v>
      </c>
      <c r="AS12" s="340" t="s">
        <v>802</v>
      </c>
      <c r="AT12" s="203"/>
      <c r="AU12" s="202"/>
      <c r="AV12" s="203"/>
      <c r="AW12" s="202"/>
      <c r="AX12" s="203"/>
      <c r="AY12" s="126">
        <f t="shared" si="1"/>
        <v>2804</v>
      </c>
      <c r="AZ12" s="127">
        <f t="shared" si="1"/>
        <v>857</v>
      </c>
      <c r="BA12" s="127">
        <f t="shared" si="1"/>
        <v>586</v>
      </c>
      <c r="BB12" s="127">
        <f t="shared" si="1"/>
        <v>3074</v>
      </c>
      <c r="BC12" s="125">
        <f>IF(ISNUMBER(X12),X12," - ")</f>
        <v>181</v>
      </c>
      <c r="BD12" s="126">
        <f t="shared" si="2"/>
        <v>0.68378063010501755</v>
      </c>
      <c r="BE12" s="127">
        <f t="shared" si="3"/>
        <v>5.2457337883959045</v>
      </c>
      <c r="BF12" s="127">
        <f t="shared" si="4"/>
        <v>0.30887372013651876</v>
      </c>
      <c r="BG12" s="196">
        <f t="shared" si="5"/>
        <v>6.2474402730375429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4054</v>
      </c>
      <c r="J13" s="184">
        <f t="shared" si="6"/>
        <v>876</v>
      </c>
      <c r="K13" s="184">
        <f t="shared" si="6"/>
        <v>825</v>
      </c>
      <c r="L13" s="184">
        <f t="shared" si="6"/>
        <v>4199</v>
      </c>
      <c r="M13" s="184">
        <f t="shared" si="6"/>
        <v>134</v>
      </c>
      <c r="N13" s="184">
        <f t="shared" si="6"/>
        <v>335</v>
      </c>
      <c r="O13" s="184">
        <f t="shared" si="6"/>
        <v>464</v>
      </c>
      <c r="P13" s="184">
        <f t="shared" si="6"/>
        <v>183</v>
      </c>
      <c r="Q13" s="184">
        <f t="shared" si="6"/>
        <v>67</v>
      </c>
      <c r="R13" s="184">
        <f t="shared" si="6"/>
        <v>3241</v>
      </c>
      <c r="S13" s="184">
        <f t="shared" si="6"/>
        <v>2743</v>
      </c>
      <c r="T13" s="184">
        <f t="shared" si="6"/>
        <v>802</v>
      </c>
      <c r="U13" s="184">
        <f t="shared" si="6"/>
        <v>534</v>
      </c>
      <c r="V13" s="184">
        <f t="shared" si="6"/>
        <v>3010</v>
      </c>
      <c r="W13" s="184">
        <f t="shared" si="6"/>
        <v>130</v>
      </c>
      <c r="X13" s="184">
        <f t="shared" si="6"/>
        <v>182</v>
      </c>
      <c r="Y13" s="184">
        <f t="shared" si="6"/>
        <v>126</v>
      </c>
      <c r="Z13" s="184">
        <f t="shared" si="6"/>
        <v>72</v>
      </c>
      <c r="AA13" s="184">
        <f t="shared" si="6"/>
        <v>63</v>
      </c>
      <c r="AB13" s="184">
        <f t="shared" si="6"/>
        <v>140</v>
      </c>
      <c r="AC13" s="184">
        <f t="shared" si="6"/>
        <v>0</v>
      </c>
      <c r="AD13" s="184">
        <f t="shared" si="6"/>
        <v>0</v>
      </c>
      <c r="AE13" s="184">
        <f t="shared" si="6"/>
        <v>0</v>
      </c>
      <c r="AF13" s="184">
        <f>SUBTOTAL(9,AF9:AF12)</f>
        <v>0</v>
      </c>
      <c r="AG13" s="184">
        <f t="shared" ref="AG13:AT13" si="7">SUBTOTAL(9,AG8:AG12)</f>
        <v>128</v>
      </c>
      <c r="AH13" s="184">
        <f t="shared" si="7"/>
        <v>65</v>
      </c>
      <c r="AI13" s="184">
        <f t="shared" si="7"/>
        <v>64</v>
      </c>
      <c r="AJ13" s="184">
        <f t="shared" si="7"/>
        <v>129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2871</v>
      </c>
      <c r="AZ13" s="184">
        <f>SUBTOTAL(9,AZ8:AZ12)</f>
        <v>867</v>
      </c>
      <c r="BA13" s="184">
        <f>SUBTOTAL(9,BA8:BA12)</f>
        <v>598</v>
      </c>
      <c r="BB13" s="184">
        <f>SUBTOTAL(9,BB8:BB12)</f>
        <v>3139</v>
      </c>
      <c r="BC13" s="184">
        <f>SUBTOTAL(9,BC8:BC12)</f>
        <v>186</v>
      </c>
      <c r="BD13" s="205">
        <f>IF(ISNUMBER(BA13/AZ13),BA13/AZ13," - ")</f>
        <v>0.68973471741637826</v>
      </c>
      <c r="BE13" s="206">
        <f>IF(ISNUMBER(BB13/BA13),BB13/BA13, " - ")</f>
        <v>5.2491638795986626</v>
      </c>
      <c r="BF13" s="206">
        <f>IF(ISNUMBER(BC13/BA13),BC13/BA13, " - ")</f>
        <v>0.31103678929765888</v>
      </c>
      <c r="BG13" s="207">
        <f>IF(ISNUMBER((AY13+AZ13)/BA13),(AY13+AZ13)/BA13," - ")</f>
        <v>6.2508361204013374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1987</v>
      </c>
      <c r="J16" s="183">
        <v>952</v>
      </c>
      <c r="K16" s="183">
        <v>979</v>
      </c>
      <c r="L16" s="183">
        <v>1921</v>
      </c>
      <c r="M16" s="183">
        <v>145</v>
      </c>
      <c r="N16" s="183">
        <v>537</v>
      </c>
      <c r="O16" s="181">
        <v>7</v>
      </c>
      <c r="P16" s="183">
        <v>34</v>
      </c>
      <c r="Q16" s="183">
        <v>11</v>
      </c>
      <c r="R16" s="183">
        <v>183</v>
      </c>
      <c r="S16" s="183">
        <v>1572</v>
      </c>
      <c r="T16" s="183">
        <v>1208</v>
      </c>
      <c r="U16" s="183">
        <v>997</v>
      </c>
      <c r="V16" s="183">
        <v>1782</v>
      </c>
      <c r="W16" s="183">
        <v>94</v>
      </c>
      <c r="X16" s="189">
        <v>635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1572</v>
      </c>
      <c r="AZ16" s="127">
        <f t="shared" si="9"/>
        <v>1208</v>
      </c>
      <c r="BA16" s="127">
        <f t="shared" si="9"/>
        <v>997</v>
      </c>
      <c r="BB16" s="127">
        <f t="shared" si="9"/>
        <v>1782</v>
      </c>
      <c r="BC16" s="125">
        <f>IF(ISNUMBER(W16),W16," - ")</f>
        <v>94</v>
      </c>
      <c r="BD16" s="126">
        <f t="shared" ref="BD16" si="11">IF(ISNUMBER(BA16/AZ16),BA16/AZ16," - ")</f>
        <v>0.82533112582781454</v>
      </c>
      <c r="BE16" s="127">
        <f t="shared" ref="BE16" si="12">IF(ISNUMBER(BB16/BA16),BB16/BA16, " - ")</f>
        <v>1.7873620862587762</v>
      </c>
      <c r="BF16" s="127">
        <f t="shared" ref="BF16" si="13">IF(ISNUMBER(BC16/BA16),BC16/BA16, " - ")</f>
        <v>9.4282848545636913E-2</v>
      </c>
      <c r="BG16" s="196">
        <f t="shared" si="10"/>
        <v>2.7883650952858576</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158</v>
      </c>
      <c r="J17" s="183">
        <v>107</v>
      </c>
      <c r="K17" s="183">
        <v>102</v>
      </c>
      <c r="L17" s="183">
        <v>163</v>
      </c>
      <c r="M17" s="183">
        <v>17</v>
      </c>
      <c r="N17" s="183">
        <v>48</v>
      </c>
      <c r="O17" s="183">
        <v>0</v>
      </c>
      <c r="P17" s="183">
        <v>0</v>
      </c>
      <c r="Q17" s="183">
        <v>0</v>
      </c>
      <c r="R17" s="183">
        <v>3</v>
      </c>
      <c r="S17" s="183">
        <v>94</v>
      </c>
      <c r="T17" s="183">
        <v>117</v>
      </c>
      <c r="U17" s="183">
        <v>101</v>
      </c>
      <c r="V17" s="183">
        <v>110</v>
      </c>
      <c r="W17" s="183">
        <v>18</v>
      </c>
      <c r="X17" s="189">
        <v>50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94</v>
      </c>
      <c r="AZ17" s="129">
        <f t="shared" si="14"/>
        <v>117</v>
      </c>
      <c r="BA17" s="129">
        <f t="shared" si="14"/>
        <v>101</v>
      </c>
      <c r="BB17" s="129">
        <f t="shared" si="14"/>
        <v>110</v>
      </c>
      <c r="BC17" s="125">
        <f>IF(ISNUMBER(W17),W17," - ")</f>
        <v>18</v>
      </c>
      <c r="BD17" s="126">
        <f>IF(ISNUMBER(BA17/AZ17),BA17/AZ17," - ")</f>
        <v>0.86324786324786329</v>
      </c>
      <c r="BE17" s="127">
        <f>IF(ISNUMBER(BB17/BA17),BB17/BA17, " - ")</f>
        <v>1.0891089108910892</v>
      </c>
      <c r="BF17" s="127">
        <f>IF(ISNUMBER(BC17/BA17),BC17/BA17, " - ")</f>
        <v>0.17821782178217821</v>
      </c>
      <c r="BG17" s="196">
        <f>IF(ISNUMBER((AY17+AZ17)/BA17),(AY17+AZ17)/BA17," - ")</f>
        <v>2.0891089108910892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2145</v>
      </c>
      <c r="J18" s="184">
        <f t="shared" si="15"/>
        <v>1059</v>
      </c>
      <c r="K18" s="184">
        <f t="shared" si="15"/>
        <v>1081</v>
      </c>
      <c r="L18" s="184">
        <f t="shared" si="15"/>
        <v>2084</v>
      </c>
      <c r="M18" s="184">
        <f t="shared" si="15"/>
        <v>162</v>
      </c>
      <c r="N18" s="184">
        <f t="shared" si="15"/>
        <v>585</v>
      </c>
      <c r="O18" s="184">
        <f t="shared" si="15"/>
        <v>7</v>
      </c>
      <c r="P18" s="184">
        <f t="shared" si="15"/>
        <v>34</v>
      </c>
      <c r="Q18" s="184">
        <f t="shared" si="15"/>
        <v>11</v>
      </c>
      <c r="R18" s="184">
        <f t="shared" si="15"/>
        <v>186</v>
      </c>
      <c r="S18" s="184">
        <f t="shared" si="15"/>
        <v>1666</v>
      </c>
      <c r="T18" s="184">
        <f t="shared" si="15"/>
        <v>1325</v>
      </c>
      <c r="U18" s="184">
        <f t="shared" si="15"/>
        <v>1098</v>
      </c>
      <c r="V18" s="184">
        <f t="shared" si="15"/>
        <v>1892</v>
      </c>
      <c r="W18" s="184">
        <f t="shared" si="15"/>
        <v>112</v>
      </c>
      <c r="X18" s="184">
        <f t="shared" si="15"/>
        <v>685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1666</v>
      </c>
      <c r="AZ18" s="184">
        <f>SUBTOTAL(9,AZ14:AZ17)</f>
        <v>1325</v>
      </c>
      <c r="BA18" s="184">
        <f>SUBTOTAL(9,BA14:BA17)</f>
        <v>1098</v>
      </c>
      <c r="BB18" s="184">
        <f>SUBTOTAL(9,BB14:BB17)</f>
        <v>1892</v>
      </c>
      <c r="BC18" s="184">
        <f>SUBTOTAL(9,BC14:BC17)</f>
        <v>112</v>
      </c>
      <c r="BD18" s="205">
        <f>IF(ISNUMBER(BA18/AZ18),BA18/AZ18," - ")</f>
        <v>0.82867924528301884</v>
      </c>
      <c r="BE18" s="206">
        <f>IF(ISNUMBER(BB18/BA18),BB18/BA18, " - ")</f>
        <v>1.7231329690346084</v>
      </c>
      <c r="BF18" s="206">
        <f>IF(ISNUMBER(BC18/BA18),BC18/BA18, " - ")</f>
        <v>0.10200364298724955</v>
      </c>
      <c r="BG18" s="207">
        <f>IF(ISNUMBER((AY18+AZ18)/BA18),(AY18+AZ18)/BA18," - ")</f>
        <v>2.7240437158469946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6199</v>
      </c>
      <c r="J19" s="134">
        <f t="shared" si="18"/>
        <v>1935</v>
      </c>
      <c r="K19" s="134">
        <f t="shared" si="18"/>
        <v>1906</v>
      </c>
      <c r="L19" s="134">
        <f t="shared" si="18"/>
        <v>6283</v>
      </c>
      <c r="M19" s="134">
        <f t="shared" si="18"/>
        <v>296</v>
      </c>
      <c r="N19" s="134">
        <f t="shared" si="18"/>
        <v>920</v>
      </c>
      <c r="O19" s="134">
        <f t="shared" si="18"/>
        <v>471</v>
      </c>
      <c r="P19" s="134">
        <f t="shared" si="18"/>
        <v>217</v>
      </c>
      <c r="Q19" s="134">
        <f t="shared" si="18"/>
        <v>78</v>
      </c>
      <c r="R19" s="134">
        <f t="shared" si="18"/>
        <v>3427</v>
      </c>
      <c r="S19" s="134">
        <f t="shared" si="18"/>
        <v>4409</v>
      </c>
      <c r="T19" s="134">
        <f t="shared" si="18"/>
        <v>2127</v>
      </c>
      <c r="U19" s="134">
        <f t="shared" si="18"/>
        <v>1632</v>
      </c>
      <c r="V19" s="134">
        <f t="shared" si="18"/>
        <v>4902</v>
      </c>
      <c r="W19" s="134">
        <f t="shared" si="18"/>
        <v>242</v>
      </c>
      <c r="X19" s="134">
        <f t="shared" si="18"/>
        <v>867</v>
      </c>
      <c r="Y19" s="134">
        <f t="shared" si="18"/>
        <v>126</v>
      </c>
      <c r="Z19" s="134">
        <f t="shared" si="18"/>
        <v>72</v>
      </c>
      <c r="AA19" s="134">
        <f t="shared" si="18"/>
        <v>63</v>
      </c>
      <c r="AB19" s="134">
        <f t="shared" si="18"/>
        <v>140</v>
      </c>
      <c r="AC19" s="134">
        <f t="shared" si="18"/>
        <v>0</v>
      </c>
      <c r="AD19" s="134">
        <f t="shared" si="18"/>
        <v>0</v>
      </c>
      <c r="AE19" s="134">
        <f t="shared" si="18"/>
        <v>0</v>
      </c>
      <c r="AF19" s="134">
        <f t="shared" si="18"/>
        <v>0</v>
      </c>
      <c r="AG19" s="134">
        <f t="shared" si="18"/>
        <v>128</v>
      </c>
      <c r="AH19" s="134">
        <f t="shared" si="18"/>
        <v>65</v>
      </c>
      <c r="AI19" s="134">
        <f t="shared" si="18"/>
        <v>64</v>
      </c>
      <c r="AJ19" s="134">
        <f t="shared" si="18"/>
        <v>129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4537</v>
      </c>
      <c r="AZ19" s="134">
        <f>SUBTOTAL(9,AZ9:AZ18)</f>
        <v>2192</v>
      </c>
      <c r="BA19" s="134">
        <f>SUBTOTAL(9,BA9:BA18)</f>
        <v>1696</v>
      </c>
      <c r="BB19" s="134">
        <f>SUBTOTAL(9,BB9:BB18)</f>
        <v>5031</v>
      </c>
      <c r="BC19" s="135">
        <f>SUBTOTAL(9,BC9:BC18)</f>
        <v>298</v>
      </c>
      <c r="BD19" s="213">
        <f>IF(ISNUMBER(BA19/AZ19),BA19/AZ19," - ")</f>
        <v>0.77372262773722633</v>
      </c>
      <c r="BE19" s="210">
        <f>IF(ISNUMBER(BB19/BA19),BB19/BA19, " - ")</f>
        <v>2.9663915094339623</v>
      </c>
      <c r="BF19" s="210">
        <f>IF(ISNUMBER(BC19/BA19),BC19/BA19, " - ")</f>
        <v>0.17570754716981132</v>
      </c>
      <c r="BG19" s="135">
        <f>IF(ISNUMBER((AY19+AZ19)/BA19),(AY19+AZ19)/BA19," - ")</f>
        <v>3.9675707547169812</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zzC1NeTcPXf1A9T4+mb+8sKkmcA7szFTCTeSvCPXu9ZVDmTOP5CZzsqwOrpgRHfB4xHWKPw1YuC0FOhu9Zw/A==" saltValue="OK1tJB7LbzIJp1t9rQe1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CpLEKa5ZeU+Has/mov9pzGlDCBw9C6MMuAzvtB8Gcsc0tBFG0VnvM9c4asz3oDoob2wKNmcujPT5CWlb4B6HQ==" saltValue="Lafri9rVk3dv4r8/R6J6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CIEZA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71</v>
      </c>
      <c r="G10" s="333">
        <f>IF(ISNUMBER(Datos!I10),Datos!I10," - ")</f>
        <v>71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73</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0.875</v>
      </c>
      <c r="BH10" s="260">
        <f>IF(ISNUMBER(((Datos!L10/Datos!K10)*11)/factor_trimestre),((Datos!L10/Datos!K10)*11)/factor_trimestre," - ")</f>
        <v>15.642857142857144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0.13636363636363635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72</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140</v>
      </c>
      <c r="AI12" s="334" t="str">
        <f>IF(ISNUMBER(Datos!CD12),Datos!CD12,"-")</f>
        <v>-</v>
      </c>
      <c r="AJ12" s="334" t="str">
        <f>IF(ISNUMBER(Datos!EN12),Datos!EN12," - ")</f>
        <v xml:space="preserve"> - </v>
      </c>
      <c r="AK12" s="334"/>
      <c r="AL12" s="479"/>
      <c r="AM12" s="335">
        <f>IF(ISNUMBER(Datos!R12),Datos!R12," - ")</f>
        <v>3216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131</v>
      </c>
      <c r="BD12" s="229">
        <f>IF(ISNUMBER(Datos!N12),Datos!N12," - ")</f>
        <v>335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0.9377682403433476</v>
      </c>
      <c r="BH12" s="260">
        <f>IF(ISNUMBER(((IF(J_V="SI",Datos!L12/Datos!K12,(Datos!L12+Datos!AB12)/(Datos!K12+Datos!AA12)))*11)/factor_trimestre),((IF(J_V="SI",Datos!L12/Datos!K12,(Datos!L12+Datos!AB12)/(Datos!K12+Datos!AA12)))*11)/factor_trimestre," - ")</f>
        <v>14.643020594965677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3.6416371253625526E-2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71</v>
      </c>
      <c r="G13" s="898">
        <f t="shared" si="0"/>
        <v>71</v>
      </c>
      <c r="H13" s="899">
        <f t="shared" si="0"/>
        <v>0</v>
      </c>
      <c r="I13" s="898">
        <f t="shared" si="0"/>
        <v>0</v>
      </c>
      <c r="J13" s="867">
        <f t="shared" si="0"/>
        <v>0</v>
      </c>
      <c r="K13" s="867">
        <f t="shared" si="0"/>
        <v>0</v>
      </c>
      <c r="L13" s="899">
        <f t="shared" si="0"/>
        <v>0</v>
      </c>
      <c r="M13" s="899">
        <f t="shared" si="0"/>
        <v>0</v>
      </c>
      <c r="N13" s="899">
        <f t="shared" si="0"/>
        <v>72</v>
      </c>
      <c r="O13" s="900">
        <f t="shared" si="0"/>
        <v>0</v>
      </c>
      <c r="P13" s="900">
        <f t="shared" si="0"/>
        <v>0</v>
      </c>
      <c r="Q13" s="899">
        <f t="shared" si="0"/>
        <v>183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67</v>
      </c>
      <c r="AD13" s="899">
        <f t="shared" si="1"/>
        <v>0</v>
      </c>
      <c r="AE13" s="899">
        <f t="shared" si="1"/>
        <v>0</v>
      </c>
      <c r="AF13" s="899">
        <f t="shared" si="1"/>
        <v>73</v>
      </c>
      <c r="AG13" s="899">
        <f t="shared" si="1"/>
        <v>0</v>
      </c>
      <c r="AH13" s="899">
        <f t="shared" si="1"/>
        <v>140</v>
      </c>
      <c r="AI13" s="899">
        <f t="shared" si="1"/>
        <v>0</v>
      </c>
      <c r="AJ13" s="899">
        <f t="shared" si="1"/>
        <v>0</v>
      </c>
      <c r="AK13" s="899">
        <f t="shared" si="1"/>
        <v>0</v>
      </c>
      <c r="AL13" s="899">
        <f t="shared" si="1"/>
        <v>0</v>
      </c>
      <c r="AM13" s="899">
        <f t="shared" si="1"/>
        <v>3241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134</v>
      </c>
      <c r="BD13" s="899">
        <f t="shared" si="1"/>
        <v>335</v>
      </c>
      <c r="BE13" s="899">
        <f t="shared" si="1"/>
        <v>0</v>
      </c>
      <c r="BF13" s="899">
        <f t="shared" si="1"/>
        <v>0</v>
      </c>
      <c r="BG13" s="899">
        <f>IF(ISNUMBER(Datos!K13/Datos!J13),Datos!K13/Datos!J13," - ")</f>
        <v>0.94178082191780821</v>
      </c>
      <c r="BH13" s="903">
        <f>IF(ISNUMBER(((Datos!L13/Datos!K13)*11)/factor_trimestre),((Datos!L13/Datos!K13)*11)/factor_trimestre," - ")</f>
        <v>15.269090909090909</v>
      </c>
      <c r="BI13" s="899">
        <f>IF(ISNUMBER('Resol  Asuntos'!D13/NºAsuntos!G13),'Resol  Asuntos'!D13/NºAsuntos!G13," - ")</f>
        <v>0.15090090090090091</v>
      </c>
      <c r="BJ13" s="899" t="str">
        <f>IF(ISNUMBER(Datos!CI13/Datos!CJ13),Datos!CI13/Datos!CJ13," - ")</f>
        <v xml:space="preserve"> - </v>
      </c>
      <c r="BK13" s="899">
        <f>SUBTOTAL(9,BK8:BK12)</f>
        <v>0</v>
      </c>
      <c r="BL13" s="899">
        <f>IF(ISNUMBER((I13-AB13+L13)/(F13)),(I13-AB13+L13)/(F13)," - ")</f>
        <v>-0.19718309859154928</v>
      </c>
      <c r="BM13" s="904">
        <f>SUBTOTAL(9,BM9:BM12)</f>
        <v>0.17278000761726187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1948</v>
      </c>
      <c r="G16" s="598">
        <f>IF(ISNUMBER(IF(D_I="SI",Datos!I16,Datos!I16+Datos!AC16)),IF(D_I="SI",Datos!I16,Datos!I16+Datos!AC16)," - ")</f>
        <v>1987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979</v>
      </c>
      <c r="AC16" s="226">
        <f>IF(ISNUMBER(Datos!Q16),Datos!Q16," - ")</f>
        <v>11</v>
      </c>
      <c r="AD16" s="334"/>
      <c r="AE16" s="484"/>
      <c r="AF16" s="596">
        <f>IF(ISNUMBER(IF(D_I="SI",Datos!L16,Datos!L16+Datos!AF16)),IF(D_I="SI",Datos!L16,Datos!L16+Datos!AF16)," - ")</f>
        <v>1921</v>
      </c>
      <c r="AG16" s="334"/>
      <c r="AH16" s="334"/>
      <c r="AI16" s="334"/>
      <c r="AJ16" s="334"/>
      <c r="AK16" s="334"/>
      <c r="AL16" s="479"/>
      <c r="AM16" s="335">
        <f>IF(ISNUMBER(Datos!R16),Datos!R16," - ")</f>
        <v>183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145</v>
      </c>
      <c r="BD16" s="229">
        <f>IF(ISNUMBER(Datos!N16),Datos!N16," - ")</f>
        <v>537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1.028361344537815</v>
      </c>
      <c r="BH16" s="260">
        <f>IF(ISNUMBER(((IF(D_I="SI",Datos!L16/Datos!K16,(Datos!L16+Datos!AF16)/(Datos!K16+Datos!AE16)))*11)/factor_trimestre),((IF(D_I="SI",Datos!L16/Datos!K16,(Datos!L16+Datos!AF16)/(Datos!K16+Datos!AE16)))*11)/factor_trimestre," - ")</f>
        <v>5.8866189989785491</v>
      </c>
      <c r="BI16" s="243">
        <f>IF(ISNUMBER('Resol  Asuntos'!D16/NºAsuntos!G16),'Resol  Asuntos'!D16/NºAsuntos!G16," - ")</f>
        <v>0.1481103166496425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102</v>
      </c>
      <c r="AC17" s="226">
        <f>IF(ISNUMBER(Datos!Q17),Datos!Q17," - ")</f>
        <v>0</v>
      </c>
      <c r="AD17" s="334"/>
      <c r="AE17" s="484"/>
      <c r="AF17" s="332">
        <f>IF(ISNUMBER(Datos!L17),Datos!L17,"-")</f>
        <v>163</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48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0.95327102803738317</v>
      </c>
      <c r="BH17" s="260">
        <f>IF(ISNUMBER(((IF(D_I="SI",Datos!L17/Datos!K17,(Datos!L17+Datos!AF17)/(Datos!K17+Datos!AE17)))*11)/factor_trimestre),((IF(D_I="SI",Datos!L17/Datos!K17,(Datos!L17+Datos!AF17)/(Datos!K17+Datos!AE17)))*11)/factor_trimestre," - ")</f>
        <v>4.7941176470588234</v>
      </c>
      <c r="BI17" s="243">
        <f>IF(ISNUMBER('Resol  Asuntos'!D17/NºAsuntos!G17),'Resol  Asuntos'!D17/NºAsuntos!G17," - ")</f>
        <v>0.16666666666666666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1948</v>
      </c>
      <c r="G18" s="898">
        <f>SUBTOTAL(9,G15:G17)</f>
        <v>2145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1081</v>
      </c>
      <c r="AC18" s="899">
        <f t="shared" si="4"/>
        <v>11</v>
      </c>
      <c r="AD18" s="899">
        <f t="shared" si="4"/>
        <v>0</v>
      </c>
      <c r="AE18" s="899">
        <f t="shared" si="4"/>
        <v>0</v>
      </c>
      <c r="AF18" s="899">
        <f t="shared" si="4"/>
        <v>2084</v>
      </c>
      <c r="AG18" s="899">
        <f t="shared" si="4"/>
        <v>0</v>
      </c>
      <c r="AH18" s="899">
        <f t="shared" si="4"/>
        <v>0</v>
      </c>
      <c r="AI18" s="899">
        <f t="shared" si="4"/>
        <v>0</v>
      </c>
      <c r="AJ18" s="899">
        <f t="shared" si="4"/>
        <v>0</v>
      </c>
      <c r="AK18" s="899">
        <f t="shared" si="4"/>
        <v>0</v>
      </c>
      <c r="AL18" s="899">
        <f t="shared" si="4"/>
        <v>0</v>
      </c>
      <c r="AM18" s="899">
        <f t="shared" si="4"/>
        <v>186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162</v>
      </c>
      <c r="BD18" s="899">
        <f t="shared" si="4"/>
        <v>585</v>
      </c>
      <c r="BE18" s="899">
        <f t="shared" si="4"/>
        <v>0</v>
      </c>
      <c r="BF18" s="899">
        <f t="shared" si="4"/>
        <v>0</v>
      </c>
      <c r="BG18" s="899">
        <f>IF(ISNUMBER(Datos!K18/Datos!J18),Datos!K18/Datos!J18," - ")</f>
        <v>1.0207743153918791</v>
      </c>
      <c r="BH18" s="903">
        <f>IF(ISNUMBER(((Datos!L18/Datos!K18)*11)/factor_trimestre),((Datos!L18/Datos!K18)*11)/factor_trimestre," - ")</f>
        <v>5.7835337650323773</v>
      </c>
      <c r="BI18" s="899">
        <f>SUBTOTAL(9,BI15:BI17)</f>
        <v>0.31477698331630916</v>
      </c>
      <c r="BJ18" s="899">
        <f>SUBTOTAL(9,BJ15:BJ17)</f>
        <v>0</v>
      </c>
      <c r="BK18" s="899">
        <f>SUBTOTAL(9,BK15:BK17)</f>
        <v>0</v>
      </c>
      <c r="BL18" s="899">
        <f>IF(ISNUMBER((I18-AB18+L18)/(F18)),(I18-AB18+L18)/(F18)," - ")</f>
        <v>-0.55492813141683783</v>
      </c>
      <c r="BM18" s="905">
        <f>IF(ISNUMBER((Datos!P18-Datos!Q18)/(Datos!R18-Datos!P18+Datos!Q18)),(Datos!P18-Datos!Q18)/(Datos!R18-Datos!P18+Datos!Q18)," - ")</f>
        <v>0.1411042944785276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2019</v>
      </c>
      <c r="G19" s="820">
        <f t="shared" si="6"/>
        <v>2216</v>
      </c>
      <c r="H19" s="822">
        <f t="shared" si="6"/>
        <v>0</v>
      </c>
      <c r="I19" s="820">
        <f t="shared" si="6"/>
        <v>0</v>
      </c>
      <c r="J19" s="822">
        <f t="shared" si="6"/>
        <v>0</v>
      </c>
      <c r="K19" s="822">
        <f t="shared" si="6"/>
        <v>0</v>
      </c>
      <c r="L19" s="881">
        <f t="shared" si="6"/>
        <v>0</v>
      </c>
      <c r="M19" s="881">
        <f t="shared" si="6"/>
        <v>0</v>
      </c>
      <c r="N19" s="881">
        <f t="shared" si="6"/>
        <v>72</v>
      </c>
      <c r="O19" s="881">
        <f t="shared" si="6"/>
        <v>0</v>
      </c>
      <c r="P19" s="881">
        <f t="shared" si="6"/>
        <v>0</v>
      </c>
      <c r="Q19" s="822">
        <f t="shared" si="6"/>
        <v>217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1095</v>
      </c>
      <c r="AC19" s="821">
        <f t="shared" si="7"/>
        <v>78</v>
      </c>
      <c r="AD19" s="821">
        <f t="shared" si="7"/>
        <v>0</v>
      </c>
      <c r="AE19" s="821">
        <f t="shared" si="7"/>
        <v>0</v>
      </c>
      <c r="AF19" s="828">
        <f t="shared" si="7"/>
        <v>2157</v>
      </c>
      <c r="AG19" s="828">
        <f t="shared" si="7"/>
        <v>0</v>
      </c>
      <c r="AH19" s="828">
        <f t="shared" si="7"/>
        <v>140</v>
      </c>
      <c r="AI19" s="828">
        <f t="shared" si="7"/>
        <v>0</v>
      </c>
      <c r="AJ19" s="821">
        <f t="shared" si="7"/>
        <v>0</v>
      </c>
      <c r="AK19" s="828">
        <f t="shared" si="7"/>
        <v>0</v>
      </c>
      <c r="AL19" s="828">
        <f t="shared" si="7"/>
        <v>0</v>
      </c>
      <c r="AM19" s="828">
        <f t="shared" si="7"/>
        <v>3427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296</v>
      </c>
      <c r="BD19" s="820">
        <f t="shared" si="7"/>
        <v>920</v>
      </c>
      <c r="BE19" s="820">
        <f t="shared" si="7"/>
        <v>0</v>
      </c>
      <c r="BF19" s="830">
        <f t="shared" si="7"/>
        <v>0</v>
      </c>
      <c r="BG19" s="915">
        <f>IF(ISNUMBER(Datos!K19/Datos!J19),Datos!K19/Datos!J19," - ")</f>
        <v>0.98501291989664086</v>
      </c>
      <c r="BH19" s="915">
        <f>IF(ISNUMBER(((Datos!L19/Datos!K19)*11)/factor_trimestre),((Datos!L19/Datos!K19)*11)/factor_trimestre," - ")</f>
        <v>9.8892969569779652</v>
      </c>
      <c r="BI19" s="813">
        <f>IF(ISNUMBER(Datos!J19/Datos!I19),Datos!J19/Datos!I19," - ")</f>
        <v>0.31214712050330701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-0.54234769687964335</v>
      </c>
      <c r="BM19" s="889">
        <f>IF(ISNUMBER((Datos!P19-Datos!Q19+R19)/(Datos!R19-Datos!P19+Datos!Q19-R19)),(Datos!P19-Datos!Q19+R19)/(Datos!R19-Datos!P19+Datos!Q19-R19)," - ")</f>
        <v>4.2274939172749389E-2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1083.6864552689276</v>
      </c>
      <c r="G21" s="552">
        <f>IF(ISNUMBER(STDEV(G8:G18)),STDEV(G8:G18),"-")</f>
        <v>1078.8553193083862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542.81166162859836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69.675438044311335</v>
      </c>
      <c r="BD21" s="551"/>
      <c r="BE21" s="551">
        <f>IF(ISNUMBER(STDEV(BE8:BE18)),STDEV(BE8:BE18),"-")</f>
        <v>0</v>
      </c>
      <c r="BF21" s="556">
        <f>IF(ISNUMBER(STDEV(BF8:BF18)),STDEV(BF8:BF18),"-")</f>
        <v>0</v>
      </c>
      <c r="BG21" s="775">
        <f>IF(ISNUMBER(STDEV(BG8:BG18)),STDEV(BG8:BG18),"-")</f>
        <v>5.7378941979358174E-2</v>
      </c>
      <c r="BH21" s="776">
        <f>IF(ISNUMBER(STDEV(BH8:BH18)),STDEV(BH8:BH18),"-")</f>
        <v>5.3344717345869705</v>
      </c>
      <c r="BI21" s="249">
        <f>IF(ISNUMBER(STDEV(BI8:BI18)),STDEV(BI8:BI18),"-")</f>
        <v>8.0192736017804522E-2</v>
      </c>
      <c r="BJ21" s="230" t="str">
        <f>IF(ISNUMBER(BL21/BM21),BL21/BM21," - ")</f>
        <v xml:space="preserve"> - </v>
      </c>
      <c r="BK21" s="575"/>
      <c r="BL21" s="559">
        <f>IF(ISNUMBER(STDEV(BL8:BL18)),STDEV(BL8:BL18),"-")</f>
        <v>0.25296393864656563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ksCi5U14IZzYk6rwVXSSGv2S9RKDcGCKzjaFCHkOLR1Igo9HUDMIVfKr0dpD5TT+mKTEd2Q5oP0GVNIJgRKrQ==" saltValue="h5HZdJcmgAkhT5skVLsD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CIEZA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71</v>
      </c>
      <c r="G10" s="225">
        <f>IF(ISNUMBER(Datos!I10),Datos!I10," - ")</f>
        <v>71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73</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15.642857142857144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0.13636363636363635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67</v>
      </c>
      <c r="AA12" s="332" t="str">
        <f>IF(ISNUMBER(IF(J_V="SI",Datos!L12,Datos!L12+Datos!AB12)-IF(Monitorios="SI",Datos!CD12,0)),
                          IF(J_V="SI",Datos!L12,Datos!L12+Datos!AB12)-IF(Monitorios="SI",Datos!CD12,0),
                          " - ")</f>
        <v xml:space="preserve"> - </v>
      </c>
      <c r="AB12" s="334"/>
      <c r="AC12" s="334"/>
      <c r="AD12" s="484"/>
      <c r="AE12" s="484">
        <f>IF(ISNUMBER(Datos!R12),Datos!R12," - ")</f>
        <v>3216</v>
      </c>
      <c r="AF12" s="229" t="str">
        <f>IF(ISNUMBER(Datos!BV12),Datos!BV12," - ")</f>
        <v xml:space="preserve"> - </v>
      </c>
      <c r="AG12" s="225" t="str">
        <f>IF(ISNUMBER(Datos!DV12),Datos!DV12," - ")</f>
        <v xml:space="preserve"> - </v>
      </c>
      <c r="AH12" s="298"/>
      <c r="AI12" s="227"/>
      <c r="AJ12" s="225">
        <f>IF(ISNUMBER(Datos!M12),Datos!M12," - ")</f>
        <v>131</v>
      </c>
      <c r="AK12" s="229">
        <f>IF(ISNUMBER(Datos!N12),Datos!N12," - ")</f>
        <v>335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14.643020594965677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3.6416371253625526E-2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71</v>
      </c>
      <c r="G13" s="898">
        <f>SUBTOTAL(9,G8:G12)</f>
        <v>71</v>
      </c>
      <c r="H13" s="908"/>
      <c r="I13" s="898">
        <f t="shared" ref="I13:N13" si="0">SUBTOTAL(9,I8:I12)</f>
        <v>0</v>
      </c>
      <c r="J13" s="867">
        <f t="shared" si="0"/>
        <v>0</v>
      </c>
      <c r="K13" s="908">
        <f t="shared" si="0"/>
        <v>0</v>
      </c>
      <c r="L13" s="908">
        <f t="shared" si="0"/>
        <v>0</v>
      </c>
      <c r="M13" s="908">
        <f t="shared" si="0"/>
        <v>0</v>
      </c>
      <c r="N13" s="908">
        <f t="shared" si="0"/>
        <v>183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67</v>
      </c>
      <c r="AA13" s="900">
        <f t="shared" si="2"/>
        <v>73</v>
      </c>
      <c r="AB13" s="900">
        <f t="shared" si="2"/>
        <v>0</v>
      </c>
      <c r="AC13" s="900">
        <f t="shared" si="2"/>
        <v>0</v>
      </c>
      <c r="AD13" s="900">
        <f t="shared" si="2"/>
        <v>0</v>
      </c>
      <c r="AE13" s="900">
        <f t="shared" si="2"/>
        <v>3241</v>
      </c>
      <c r="AF13" s="908">
        <f t="shared" si="2"/>
        <v>0</v>
      </c>
      <c r="AG13" s="908">
        <f t="shared" si="2"/>
        <v>0</v>
      </c>
      <c r="AH13" s="908">
        <f t="shared" si="2"/>
        <v>0</v>
      </c>
      <c r="AI13" s="908">
        <f t="shared" si="2"/>
        <v>0</v>
      </c>
      <c r="AJ13" s="908">
        <f t="shared" si="2"/>
        <v>134</v>
      </c>
      <c r="AK13" s="908">
        <f t="shared" si="2"/>
        <v>335</v>
      </c>
      <c r="AL13" s="908">
        <f t="shared" si="2"/>
        <v>0</v>
      </c>
      <c r="AM13" s="908">
        <f t="shared" si="2"/>
        <v>0</v>
      </c>
      <c r="AN13" s="908">
        <f t="shared" si="2"/>
        <v>0</v>
      </c>
      <c r="AO13" s="904">
        <f>IF(ISNUMBER(((NºAsuntos!I13/NºAsuntos!G13)*11)/factor_trimestre),((NºAsuntos!I13/NºAsuntos!G13)*11)/factor_trimestre," - ")</f>
        <v>14.658783783783784</v>
      </c>
      <c r="AP13" s="910" t="str">
        <f>IF(ISNUMBER(Datos!CI13/Datos!CJ13),Datos!CI13/Datos!CJ13," - ")</f>
        <v xml:space="preserve"> - </v>
      </c>
      <c r="AQ13" s="928">
        <f t="shared" ref="AQ13:AV13" si="3">SUBTOTAL(9,AQ9:AQ12)</f>
        <v>0</v>
      </c>
      <c r="AR13" s="928">
        <f t="shared" si="3"/>
        <v>0.17278000761726187</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1948</v>
      </c>
      <c r="G16" s="225">
        <f>IF(ISNUMBER(IF(D_I="SI",Datos!I16,Datos!I16+Datos!AC16)),IF(D_I="SI",Datos!I16,Datos!I16+Datos!AC16)," - ")</f>
        <v>1987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979</v>
      </c>
      <c r="Z16" s="619">
        <f>IF(ISNUMBER(Datos!Q16),Datos!Q16," - ")</f>
        <v>11</v>
      </c>
      <c r="AA16" s="332">
        <f>IF(ISNUMBER(IF(D_I="SI",Datos!L16,Datos!L16+Datos!AF16)),IF(D_I="SI",Datos!L16,Datos!L16+Datos!AF16)," - ")</f>
        <v>1921</v>
      </c>
      <c r="AB16" s="334"/>
      <c r="AC16" s="334"/>
      <c r="AD16" s="484"/>
      <c r="AE16" s="484">
        <f>IF(ISNUMBER(Datos!R16),Datos!R16," - ")</f>
        <v>183</v>
      </c>
      <c r="AF16" s="229" t="str">
        <f>IF(ISNUMBER(Datos!BV16),Datos!BV16," - ")</f>
        <v xml:space="preserve"> - </v>
      </c>
      <c r="AG16" s="225"/>
      <c r="AH16" s="298"/>
      <c r="AI16" s="227"/>
      <c r="AJ16" s="225">
        <f>IF(ISNUMBER(Datos!M16),Datos!M16," - ")</f>
        <v>145</v>
      </c>
      <c r="AK16" s="229">
        <f>IF(ISNUMBER(Datos!N16),Datos!N16," - ")</f>
        <v>537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5.8866189989785491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102</v>
      </c>
      <c r="Z17" s="619">
        <f>IF(ISNUMBER(Datos!Q17),Datos!Q17," - ")</f>
        <v>0</v>
      </c>
      <c r="AA17" s="332">
        <f>IF(ISNUMBER(Datos!L17),Datos!L17,"-")</f>
        <v>163</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17</v>
      </c>
      <c r="AK17" s="229">
        <f>IF(ISNUMBER(Datos!N17),Datos!N17," - ")</f>
        <v>48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4.7941176470588234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1948</v>
      </c>
      <c r="G18" s="898">
        <f>SUBTOTAL(9,G15:G17)</f>
        <v>2145</v>
      </c>
      <c r="H18" s="932">
        <f>SUBTOTAL(9,H15:H17)</f>
        <v>0</v>
      </c>
      <c r="I18" s="911">
        <f>SUBTOTAL(9,I15:I17)</f>
        <v>0</v>
      </c>
      <c r="J18" s="867">
        <f>SUBTOTAL(9,J14:J17)</f>
        <v>0</v>
      </c>
      <c r="K18" s="932">
        <f t="shared" ref="K18:S18" si="4">SUBTOTAL(9,K15:K17)</f>
        <v>0</v>
      </c>
      <c r="L18" s="932">
        <f t="shared" si="4"/>
        <v>0</v>
      </c>
      <c r="M18" s="932">
        <f t="shared" si="4"/>
        <v>0</v>
      </c>
      <c r="N18" s="932">
        <f t="shared" si="4"/>
        <v>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1081</v>
      </c>
      <c r="Z18" s="932">
        <f t="shared" si="5"/>
        <v>11</v>
      </c>
      <c r="AA18" s="932">
        <f t="shared" si="5"/>
        <v>2084</v>
      </c>
      <c r="AB18" s="932">
        <f t="shared" si="5"/>
        <v>0</v>
      </c>
      <c r="AC18" s="932">
        <f t="shared" si="5"/>
        <v>0</v>
      </c>
      <c r="AD18" s="932">
        <f t="shared" si="5"/>
        <v>0</v>
      </c>
      <c r="AE18" s="932">
        <f t="shared" si="5"/>
        <v>186</v>
      </c>
      <c r="AF18" s="932">
        <f t="shared" si="5"/>
        <v>0</v>
      </c>
      <c r="AG18" s="932">
        <f t="shared" si="5"/>
        <v>0</v>
      </c>
      <c r="AH18" s="932">
        <f t="shared" si="5"/>
        <v>0</v>
      </c>
      <c r="AI18" s="932">
        <f t="shared" si="5"/>
        <v>0</v>
      </c>
      <c r="AJ18" s="932">
        <f t="shared" si="5"/>
        <v>162</v>
      </c>
      <c r="AK18" s="932">
        <f t="shared" si="5"/>
        <v>585</v>
      </c>
      <c r="AL18" s="932">
        <f t="shared" si="5"/>
        <v>0</v>
      </c>
      <c r="AM18" s="932">
        <f t="shared" si="5"/>
        <v>0</v>
      </c>
      <c r="AN18" s="932">
        <f t="shared" si="5"/>
        <v>0</v>
      </c>
      <c r="AO18" s="934">
        <f>IF(ISNUMBER(((NºAsuntos!I18/NºAsuntos!G18)*11)/factor_trimestre),((NºAsuntos!I18/NºAsuntos!G18)*11)/factor_trimestre," - ")</f>
        <v>5.7835337650323773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2019</v>
      </c>
      <c r="G19" s="820">
        <f t="shared" si="7"/>
        <v>2216</v>
      </c>
      <c r="H19" s="821">
        <f t="shared" si="7"/>
        <v>0</v>
      </c>
      <c r="I19" s="820">
        <f t="shared" si="7"/>
        <v>0</v>
      </c>
      <c r="J19" s="822">
        <f t="shared" si="7"/>
        <v>0</v>
      </c>
      <c r="K19" s="820">
        <f t="shared" si="7"/>
        <v>0</v>
      </c>
      <c r="L19" s="823">
        <f t="shared" si="7"/>
        <v>0</v>
      </c>
      <c r="M19" s="820">
        <f t="shared" si="7"/>
        <v>0</v>
      </c>
      <c r="N19" s="821">
        <f t="shared" si="7"/>
        <v>217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1095</v>
      </c>
      <c r="Z19" s="827">
        <f t="shared" si="8"/>
        <v>78</v>
      </c>
      <c r="AA19" s="828">
        <f t="shared" si="8"/>
        <v>2157</v>
      </c>
      <c r="AB19" s="828">
        <f t="shared" si="8"/>
        <v>0</v>
      </c>
      <c r="AC19" s="828">
        <f t="shared" si="8"/>
        <v>0</v>
      </c>
      <c r="AD19" s="829">
        <f t="shared" si="8"/>
        <v>0</v>
      </c>
      <c r="AE19" s="829">
        <f t="shared" si="8"/>
        <v>3427</v>
      </c>
      <c r="AF19" s="830">
        <f t="shared" si="8"/>
        <v>0</v>
      </c>
      <c r="AG19" s="831">
        <f t="shared" si="8"/>
        <v>0</v>
      </c>
      <c r="AH19" s="832">
        <f t="shared" si="8"/>
        <v>0</v>
      </c>
      <c r="AI19" s="830">
        <f t="shared" si="8"/>
        <v>0</v>
      </c>
      <c r="AJ19" s="820">
        <f t="shared" si="8"/>
        <v>296</v>
      </c>
      <c r="AK19" s="820">
        <f t="shared" si="8"/>
        <v>920</v>
      </c>
      <c r="AL19" s="820">
        <f t="shared" si="8"/>
        <v>0</v>
      </c>
      <c r="AM19" s="833">
        <f t="shared" si="8"/>
        <v>0</v>
      </c>
      <c r="AN19" s="823">
        <f>IF(ISNUMBER(Datos!K19/Datos!J19),Datos!K19/Datos!J19," - ")</f>
        <v>0.98501291989664086</v>
      </c>
      <c r="AO19" s="823">
        <f>IF(ISNUMBER(FIND("06",Criterios!A8,1)),(IF(ISNUMBER(((Datos!R19/Datos!Q19)*11)/factor_trimestre),((Datos!R19/Datos!Q19)*11)/factor_trimestre," - ")),(IF(ISNUMBER(((Datos!L19/Datos!K19)*11)/factor_trimestre),((Datos!L19/Datos!K19)*11)/factor_trimestre," - ")))</f>
        <v>9.8892969569779652</v>
      </c>
      <c r="AP19" s="834" t="str">
        <f>IF(ISNUMBER(Datos!CI19/Datos!CJ19),Datos!CI19/Datos!CJ19," - ")</f>
        <v xml:space="preserve"> - </v>
      </c>
      <c r="AQ19" s="834">
        <f>IF(OR(ISNUMBER(FIND("01",Criterios!A8,1)),ISNUMBER(FIND("02",Criterios!A8,1)),ISNUMBER(FIND("03",Criterios!A8,1)),ISNUMBER(FIND("04",Criterios!A8,1))),(J19-Y19+K19)/(F19-K19),(I19-Y19+K19)/(F19-K19))</f>
        <v>-0.54234769687964335</v>
      </c>
      <c r="AR19" s="834">
        <f>IF(ISNUMBER((Datos!P19-Datos!Q19+O19)/(Datos!R19-Datos!P19+Datos!Q19-O19)),(Datos!P19-Datos!Q19+O19)/(Datos!R19-Datos!P19+Datos!Q19-O19)," - ")</f>
        <v>4.2274939172749389E-2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1083.6864552689276</v>
      </c>
      <c r="G21" s="552">
        <f>IF(ISNUMBER(STDEV(G8:G18)),STDEV(G8:G18),"-")</f>
        <v>1078.8553193083862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69.675438044311335</v>
      </c>
      <c r="AK21" s="252"/>
      <c r="AL21" s="252">
        <f>IF(ISNUMBER(STDEV(AL8:AL18)),STDEV(AL8:AL18),"-")</f>
        <v>0</v>
      </c>
      <c r="AM21" s="254">
        <f>IF(ISNUMBER(STDEV(AM8:AM18)),STDEV(AM8:AM18),"-")</f>
        <v>0</v>
      </c>
      <c r="AN21" s="539">
        <f>IF(ISNUMBER(STDEV(AN8:AN18)),STDEV(AN8:AN18),"-")</f>
        <v>0</v>
      </c>
      <c r="AO21" s="540">
        <f>IF(ISNUMBER(STDEV(AO8:AO18)),STDEV(AO8:AO18),"-")</f>
        <v>5.2263294379206702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ahyhBNhUBKqH0bFT98eON1jvoy0eJqPyd6Gfx4paWFz/OHdnDrQ505nrPf5kN0qWIJVw/2cEpY+1ler1gBX2A==" saltValue="QZx768oMhUCA7iKola+a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0Vg+7r2fnhXgfnWet77Mi8Ugv1iWLRYkixqbiczejLi6TGpVr4L0qtwAW1I8v5euWtDy1rNJHt33jZb5ylcuA==" saltValue="7FkJC3E9aOZxrVQ17Wwi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546q2WBTTPOhmMgQTmsNWtmQmFI2ofBGelPbpEBiYnHSdQvgrO3x3dhj79wC//kz/TsBJ43Fhjv3XaYp79BLw==" saltValue="N719+QQptwvhneXSxWlI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CIEZA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0.15090090090090091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0.10670305031418623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xVcgrSBig0gEO/3GlZAYTJPP8aaoFkEIpBnGsInbJ8S+/TxO+SqmVv5bSojS2vZTUsfTLnDcIJ1J6bZk/ODQg==" saltValue="NF6PEv74F5JEq8OOEKgC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APsGbqq+6KOFEsERXhU1l87Y9PFHaFeG05dgY+k6J5Tg9027zhy/o1fC0Ey42tu/aF1+QvcDwvRQRhM3Gzorw==" saltValue="dnMNRW4xFqZK0JQdLoM5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CIEZA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71</v>
      </c>
      <c r="D10" s="404">
        <f>IF(ISNUMBER(C10/Datos!BH10),C10/Datos!BH10," - ")</f>
        <v>71</v>
      </c>
      <c r="E10" s="403">
        <f>IF(ISNUMBER(Datos!J10),Datos!J10," - ")</f>
        <v>16</v>
      </c>
      <c r="F10" s="404">
        <f>IF(ISNUMBER(E10/B10),E10/B10," - ")</f>
        <v>16</v>
      </c>
      <c r="G10" s="403">
        <f>IF(ISNUMBER(Datos!K10),Datos!K10," - ")</f>
        <v>14</v>
      </c>
      <c r="H10" s="404">
        <f>IF(ISNUMBER(G10/B10),G10/B10," - ")</f>
        <v>14</v>
      </c>
      <c r="I10" s="403">
        <f>IF(ISNUMBER(Datos!L10),Datos!L10," - ")</f>
        <v>73</v>
      </c>
      <c r="J10" s="404">
        <f>IF(ISNUMBER(I10/B10),I10/B10," - ")</f>
        <v>73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4109</v>
      </c>
      <c r="D12" s="404">
        <f>IF(ISNUMBER(C12/Datos!BH12),C12/Datos!BH12," - ")</f>
        <v>1027.25</v>
      </c>
      <c r="E12" s="403">
        <f>IF(ISNUMBER(IF(J_V="SI",Datos!J12,Datos!J12+Datos!Z12)),IF(J_V="SI",Datos!J12,Datos!J12+Datos!Z12)," - ")</f>
        <v>932</v>
      </c>
      <c r="F12" s="404">
        <f>IF(ISNUMBER(E12/B12),E12/B12," - ")</f>
        <v>233</v>
      </c>
      <c r="G12" s="403">
        <f>IF(ISNUMBER(IF(J_V="SI",Datos!K12,Datos!K12+Datos!AA12)),IF(J_V="SI",Datos!K12,Datos!K12+Datos!AA12)," - ")</f>
        <v>874</v>
      </c>
      <c r="H12" s="404">
        <f>IF(ISNUMBER(G12/B12),G12/B12," - ")</f>
        <v>218.5</v>
      </c>
      <c r="I12" s="403">
        <f>IF(ISNUMBER(IF(J_V="SI",Datos!L12,Datos!L12+Datos!AB12)),IF(J_V="SI",Datos!L12,Datos!L12+Datos!AB12)," - ")</f>
        <v>4266</v>
      </c>
      <c r="J12" s="404">
        <f>IF(ISNUMBER(I12/B12),I12/B12," - ")</f>
        <v>1066.5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4180</v>
      </c>
      <c r="D13" s="850" t="str">
        <f>IF(ISNUMBER(C13/Datos!BI13),C13/Datos!BI13," - ")</f>
        <v xml:space="preserve"> - </v>
      </c>
      <c r="E13" s="849">
        <f>SUBTOTAL(9,E8:E12)</f>
        <v>948</v>
      </c>
      <c r="F13" s="850">
        <f>IF(ISNUMBER(E13/B13),E13/B13," - ")</f>
        <v>237</v>
      </c>
      <c r="G13" s="849">
        <f>SUBTOTAL(9,G8:G12)</f>
        <v>888</v>
      </c>
      <c r="H13" s="850">
        <f>IF(ISNUMBER(G13/B13),G13/B13," - ")</f>
        <v>222</v>
      </c>
      <c r="I13" s="849">
        <f>SUBTOTAL(9,I8:I12)</f>
        <v>4339</v>
      </c>
      <c r="J13" s="850">
        <f>IF(ISNUMBER(I13/B13),I13/B13," - ")</f>
        <v>1084.75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1987</v>
      </c>
      <c r="D16" s="404">
        <f>IF(ISNUMBER(C16/Datos!BH16),C16/Datos!BH16," - ")</f>
        <v>496.75</v>
      </c>
      <c r="E16" s="403">
        <f>IF(ISNUMBER(IF(D_I="SI",Datos!J16,Datos!J16+Datos!AD16)),IF(D_I="SI",Datos!J16,Datos!J16+Datos!AD16)," - ")</f>
        <v>952</v>
      </c>
      <c r="F16" s="404">
        <f>IF(ISNUMBER(E16/B16),E16/B16," - ")</f>
        <v>238</v>
      </c>
      <c r="G16" s="403">
        <f>IF(ISNUMBER(IF(D_I="SI",Datos!K16,Datos!K16+Datos!AE16)),IF(D_I="SI",Datos!K16,Datos!K16+Datos!AE16)," - ")</f>
        <v>979</v>
      </c>
      <c r="H16" s="404">
        <f>IF(ISNUMBER(G16/B16),G16/B16," - ")</f>
        <v>244.75</v>
      </c>
      <c r="I16" s="403">
        <f>IF(ISNUMBER(IF(D_I="SI",Datos!L16,Datos!L16+Datos!AF16)),IF(D_I="SI",Datos!L16,Datos!L16+Datos!AF16)," - ")</f>
        <v>1921</v>
      </c>
      <c r="J16" s="404">
        <f>IF(ISNUMBER(I16/B16),I16/B16," - ")</f>
        <v>480.25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158</v>
      </c>
      <c r="D17" s="404">
        <f>IF(ISNUMBER(C17/Datos!BH17),C17/Datos!BH17," - ")</f>
        <v>158</v>
      </c>
      <c r="E17" s="403">
        <f>IF(ISNUMBER(IF(D_I="SI",Datos!J17,Datos!J17+Datos!AD17)),IF(D_I="SI",Datos!J17,Datos!J17+Datos!AD17)," - ")</f>
        <v>107</v>
      </c>
      <c r="F17" s="404">
        <f>IF(ISNUMBER(E17/B17),E17/B17," - ")</f>
        <v>107</v>
      </c>
      <c r="G17" s="403">
        <f>IF(ISNUMBER(IF(D_I="SI",Datos!K17,Datos!K17+Datos!AE17)),IF(D_I="SI",Datos!K17,Datos!K17+Datos!AE17)," - ")</f>
        <v>102</v>
      </c>
      <c r="H17" s="404">
        <f>IF(ISNUMBER(G17/B17),G17/B17," - ")</f>
        <v>102</v>
      </c>
      <c r="I17" s="403">
        <f>IF(ISNUMBER(IF(D_I="SI",Datos!L17,Datos!L17+Datos!AF17)),IF(D_I="SI",Datos!L17,Datos!L17+Datos!AF17)," - ")</f>
        <v>163</v>
      </c>
      <c r="J17" s="404">
        <f>IF(ISNUMBER(I17/B17),I17/B17," - ")</f>
        <v>163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2145</v>
      </c>
      <c r="D18" s="850" t="str">
        <f>IF(ISNUMBER(C18/Datos!BI18),C18/Datos!BI18," - ")</f>
        <v xml:space="preserve"> - </v>
      </c>
      <c r="E18" s="849">
        <f>SUBTOTAL(9,E14:E17)</f>
        <v>1059</v>
      </c>
      <c r="F18" s="850">
        <f>IF(ISNUMBER(E18/B18),E18/B18," - ")</f>
        <v>264.75</v>
      </c>
      <c r="G18" s="849">
        <f>SUBTOTAL(9,G14:G17)</f>
        <v>1081</v>
      </c>
      <c r="H18" s="850">
        <f>IF(ISNUMBER(G18/B18),G18/B18," - ")</f>
        <v>270.25</v>
      </c>
      <c r="I18" s="849">
        <f>SUBTOTAL(9,I14:I17)</f>
        <v>2084</v>
      </c>
      <c r="J18" s="850">
        <f>IF(ISNUMBER(I18/B18),I18/B18," - ")</f>
        <v>521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6325</v>
      </c>
      <c r="D19" s="795" t="str">
        <f>IF(ISNUMBER(C19/Datos!BI19),C19/Datos!BI19," - ")</f>
        <v xml:space="preserve"> - </v>
      </c>
      <c r="E19" s="794">
        <f>SUBTOTAL(9,E9:E18)</f>
        <v>2007</v>
      </c>
      <c r="F19" s="795">
        <f>IF(ISNUMBER(E19/B19),E19/B19," - ")</f>
        <v>501.75</v>
      </c>
      <c r="G19" s="794">
        <f>SUBTOTAL(9,G9:G18)</f>
        <v>1969</v>
      </c>
      <c r="H19" s="795">
        <f>IF(ISNUMBER(G19/B19),G19/B19," - ")</f>
        <v>492.25</v>
      </c>
      <c r="I19" s="794">
        <f>SUBTOTAL(9,I9:I18)</f>
        <v>6423</v>
      </c>
      <c r="J19" s="795">
        <f>IF(ISNUMBER(I19/B19),I19/B19," - ")</f>
        <v>1605.75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p1lZicLPOJdxUzXzqek3eOCyZiH8QkfW3GsVUD0fmyZ/01Ie4Z7UKNEwebf2dlzAh9LZlek9RuMsQltzdGcyyA==" saltValue="W1TgYEhBplqiE8rulFh9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CIEZA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71</v>
      </c>
      <c r="G10" s="684">
        <f>IF(ISNUMBER(Datos!I10),Datos!I10," - ")</f>
        <v>71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73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15.642857142857144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131</v>
      </c>
      <c r="AM12" s="690">
        <f>IF(ISNUMBER(Datos!N12+DatosP!N16),Datos!N12+DatosP!N16," - ")</f>
        <v>335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14.643020594965677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3.6416371253625526E-2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71</v>
      </c>
      <c r="G13" s="938">
        <f t="shared" si="0"/>
        <v>71</v>
      </c>
      <c r="H13" s="938">
        <f t="shared" si="0"/>
        <v>0</v>
      </c>
      <c r="I13" s="940">
        <f t="shared" si="0"/>
        <v>0</v>
      </c>
      <c r="J13" s="939">
        <f t="shared" si="0"/>
        <v>0</v>
      </c>
      <c r="K13" s="939">
        <f t="shared" si="0"/>
        <v>0</v>
      </c>
      <c r="L13" s="941">
        <f t="shared" si="0"/>
        <v>0</v>
      </c>
      <c r="M13" s="941">
        <f t="shared" si="0"/>
        <v>0</v>
      </c>
      <c r="N13" s="939">
        <f t="shared" si="0"/>
        <v>183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67</v>
      </c>
      <c r="AE13" s="939">
        <f t="shared" si="1"/>
        <v>0</v>
      </c>
      <c r="AF13" s="939">
        <f t="shared" si="1"/>
        <v>73</v>
      </c>
      <c r="AG13" s="939">
        <f t="shared" si="1"/>
        <v>0</v>
      </c>
      <c r="AH13" s="939">
        <f t="shared" si="1"/>
        <v>3216</v>
      </c>
      <c r="AI13" s="939">
        <f t="shared" si="1"/>
        <v>0</v>
      </c>
      <c r="AJ13" s="939">
        <f t="shared" si="1"/>
        <v>0</v>
      </c>
      <c r="AK13" s="939">
        <f t="shared" si="1"/>
        <v>0</v>
      </c>
      <c r="AL13" s="939">
        <f t="shared" si="1"/>
        <v>134</v>
      </c>
      <c r="AM13" s="939">
        <f t="shared" si="1"/>
        <v>335</v>
      </c>
      <c r="AN13" s="939">
        <f t="shared" si="1"/>
        <v>0</v>
      </c>
      <c r="AO13" s="939">
        <f t="shared" si="1"/>
        <v>0</v>
      </c>
      <c r="AP13" s="944">
        <f>IF(ISNUMBER(((Datos!L13/Datos!K13)*11)/factor_trimestre),((Datos!L13/Datos!K13)*11)/factor_trimestre," - ")</f>
        <v>15.269090909090909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-0.19718309859154928</v>
      </c>
      <c r="AU13" s="939" t="str">
        <f>IF(ISNUMBER((DatosP!#REF!-DatosP!#REF!+DatosP!#REF!)/(DatosP!#REF!+DatosP!#REF!-DatosP!#REF!-DatosP!#REF!)),(DatosP!#REF!-DatosP!#REF!+DatosP!#REF!)/(DatosP!#REF!+DatosP!#REF!-DatosP!#REF!-DatosP!#REF!)," - ")</f>
        <v xml:space="preserve"> - </v>
      </c>
      <c r="AV13" s="945">
        <f>SUBTOTAL(9,AV9:AV12)</f>
        <v>3.6416371253625526E-2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5.7835337650323773</v>
      </c>
      <c r="AQ18" s="944">
        <f>IF(ISNUMBER(((Datos!M18/Datos!L18)*11)/factor_trimestre),((Datos!M18/Datos!L18)*11)/factor_trimestre," - ")</f>
        <v>0.23320537428023036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0.1411042944785276</v>
      </c>
      <c r="AW18" s="946">
        <f>IF(ISNUMBER((Datos!Q18-Datos!R18)/(Datos!S18-Datos!Q18+Datos!R18)),(Datos!Q18-Datos!R18)/(Datos!S18-Datos!Q18+Datos!R18)," - ")</f>
        <v>-9.5057034220532313E-2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71</v>
      </c>
      <c r="G19" s="951">
        <f t="shared" si="4"/>
        <v>71</v>
      </c>
      <c r="H19" s="951">
        <f t="shared" si="4"/>
        <v>0</v>
      </c>
      <c r="I19" s="952">
        <f t="shared" si="4"/>
        <v>0</v>
      </c>
      <c r="J19" s="953">
        <f t="shared" si="4"/>
        <v>0</v>
      </c>
      <c r="K19" s="953">
        <f t="shared" si="4"/>
        <v>0</v>
      </c>
      <c r="L19" s="953">
        <f t="shared" si="4"/>
        <v>0</v>
      </c>
      <c r="M19" s="953">
        <f t="shared" si="4"/>
        <v>0</v>
      </c>
      <c r="N19" s="952">
        <f t="shared" si="4"/>
        <v>183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67</v>
      </c>
      <c r="AE19" s="957">
        <f t="shared" si="5"/>
        <v>0</v>
      </c>
      <c r="AF19" s="958">
        <f t="shared" si="5"/>
        <v>73</v>
      </c>
      <c r="AG19" s="958">
        <f t="shared" si="5"/>
        <v>0</v>
      </c>
      <c r="AH19" s="958">
        <f t="shared" si="5"/>
        <v>3216</v>
      </c>
      <c r="AI19" s="958">
        <f t="shared" si="5"/>
        <v>0</v>
      </c>
      <c r="AJ19" s="959">
        <f t="shared" si="5"/>
        <v>0</v>
      </c>
      <c r="AK19" s="959">
        <f t="shared" si="5"/>
        <v>0</v>
      </c>
      <c r="AL19" s="951">
        <f t="shared" si="5"/>
        <v>134</v>
      </c>
      <c r="AM19" s="951">
        <f t="shared" si="5"/>
        <v>335</v>
      </c>
      <c r="AN19" s="951">
        <f t="shared" si="5"/>
        <v>0</v>
      </c>
      <c r="AO19" s="951">
        <f t="shared" si="5"/>
        <v>0</v>
      </c>
      <c r="AP19" s="951">
        <f>IF(ISNUMBER(((Datos!L19/Datos!K19)*11)/factor_trimestre),((Datos!L19/Datos!K19)*11)/factor_trimestre," - ")</f>
        <v>9.8892969569779652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-0.19718309859154928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4.2274939172749389E-2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40.991869112463434</v>
      </c>
      <c r="G21" s="737">
        <f>IF(ISNUMBER(STDEV(G8:G18)),STDEV(G8:G18),"-")</f>
        <v>40.991869112463434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75.652715307074956</v>
      </c>
      <c r="AM21" s="736"/>
      <c r="AN21" s="736">
        <f>IF(ISNUMBER(STDEV(AN8:AN18)),STDEV(AN8:AN18),"-")</f>
        <v>0</v>
      </c>
      <c r="AO21" s="742">
        <f>IF(ISNUMBER(STDEV(AO8:AO18)),STDEV(AO8:AO18),"-")</f>
        <v>0</v>
      </c>
      <c r="AP21" s="779">
        <f>IF(ISNUMBER(STDEV(AP8:AP18)),STDEV(AP8:AP18),"-")</f>
        <v>4.7187913093089415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HRnvRYsyPNl1B8GuOYlVaRQdB3Q0cRf60msNFUEp7i9+S2+foH7n++T/H9BU5/wH3AHzk4eppCgji29Ve9Klg==" saltValue="4e0OQVT3wUIbfOL7UY7i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CIEZA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dKmM5wmzogW8xAOXOifFpxLgwks1blAaMd8YfLx4bxnYXLjJn6jetbXyESl5ZwB1kbqFcWBGeeWEbkt/X+Nig==" saltValue="LwgRrMq/sRKDh9h9YELl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CIEZA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131</v>
      </c>
      <c r="E12" s="404">
        <f t="shared" si="0"/>
        <v>32.75</v>
      </c>
      <c r="F12" s="403">
        <f>IF(ISNUMBER(Datos!N12),Datos!N12," - ")</f>
        <v>335</v>
      </c>
      <c r="G12" s="404">
        <f t="shared" si="1"/>
        <v>83.75</v>
      </c>
      <c r="H12" s="403">
        <f>IF(ISNUMBER(Datos!O12),Datos!O12," - ")</f>
        <v>463</v>
      </c>
      <c r="I12" s="404">
        <f t="shared" si="2"/>
        <v>115.75</v>
      </c>
    </row>
    <row r="13" spans="1:9" ht="14.25" thickTop="1" thickBot="1">
      <c r="A13" s="848" t="str">
        <f>Datos!A13</f>
        <v>TOTAL</v>
      </c>
      <c r="B13" s="849">
        <f>Datos!AO13</f>
        <v>5</v>
      </c>
      <c r="C13" s="851">
        <f>Datos!AR13</f>
        <v>4</v>
      </c>
      <c r="D13" s="849">
        <f>SUBTOTAL(9,D9:D12)</f>
        <v>134</v>
      </c>
      <c r="E13" s="850">
        <f t="shared" si="0"/>
        <v>26.8</v>
      </c>
      <c r="F13" s="849">
        <f>SUBTOTAL(9,F9:F12)</f>
        <v>335</v>
      </c>
      <c r="G13" s="850">
        <f t="shared" si="1"/>
        <v>67</v>
      </c>
      <c r="H13" s="849">
        <f>SUBTOTAL(9,H9:H12)</f>
        <v>464</v>
      </c>
      <c r="I13" s="850">
        <f>IF(ISNUMBER(H13/B13),H13/B13," - ")</f>
        <v>92.8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145</v>
      </c>
      <c r="E16" s="404">
        <f t="shared" si="3"/>
        <v>36.25</v>
      </c>
      <c r="F16" s="403">
        <f>IF(ISNUMBER(Datos!N16),Datos!N16," - ")</f>
        <v>537</v>
      </c>
      <c r="G16" s="404">
        <f t="shared" si="4"/>
        <v>134.25</v>
      </c>
      <c r="H16" s="403">
        <f>IF(ISNUMBER(Datos!O16),Datos!O16," - ")</f>
        <v>7</v>
      </c>
      <c r="I16" s="404">
        <f t="shared" si="5"/>
        <v>1.75</v>
      </c>
    </row>
    <row r="17" spans="1:9"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48</v>
      </c>
      <c r="G17" s="404">
        <f>IF(ISNUMBER(F17/B17),F17/B17," - ")</f>
        <v>48</v>
      </c>
      <c r="H17" s="403">
        <f>IF(ISNUMBER(Datos!O17),Datos!O17," - ")</f>
        <v>0</v>
      </c>
      <c r="I17" s="404">
        <f t="shared" si="5"/>
        <v>0</v>
      </c>
    </row>
    <row r="18" spans="1:9" ht="14.25" thickTop="1" thickBot="1">
      <c r="A18" s="848" t="str">
        <f>Datos!A18</f>
        <v>TOTAL</v>
      </c>
      <c r="B18" s="849">
        <f>Datos!AO18</f>
        <v>5</v>
      </c>
      <c r="C18" s="851">
        <f>Datos!AR18</f>
        <v>4</v>
      </c>
      <c r="D18" s="849">
        <f>SUBTOTAL(9,D15:D17)</f>
        <v>162</v>
      </c>
      <c r="E18" s="850">
        <f t="shared" si="3"/>
        <v>32.4</v>
      </c>
      <c r="F18" s="849">
        <f>SUBTOTAL(9,F15:F17)</f>
        <v>585</v>
      </c>
      <c r="G18" s="850">
        <f t="shared" si="4"/>
        <v>117</v>
      </c>
      <c r="H18" s="849">
        <f>SUBTOTAL(9,H15:H17)</f>
        <v>7</v>
      </c>
      <c r="I18" s="850">
        <f>IF(ISNUMBER(H18/B18),H18/B18," - ")</f>
        <v>1.4</v>
      </c>
    </row>
    <row r="19" spans="1:9" ht="14.25" thickTop="1" thickBot="1">
      <c r="A19" s="793" t="str">
        <f>Datos!A19</f>
        <v>TOTAL JURISDICCIONES</v>
      </c>
      <c r="B19" s="794">
        <f>Datos!AP19</f>
        <v>4</v>
      </c>
      <c r="C19" s="794">
        <f>Datos!AR19</f>
        <v>4</v>
      </c>
      <c r="D19" s="794">
        <f>SUBTOTAL(9,D8:D18)</f>
        <v>296</v>
      </c>
      <c r="E19" s="795">
        <f>IF(ISNUMBER(D19/B19),D19/B19," - ")</f>
        <v>74</v>
      </c>
      <c r="F19" s="794">
        <f>SUBTOTAL(9,F8:F18)</f>
        <v>920</v>
      </c>
      <c r="G19" s="795">
        <f>IF(ISNUMBER(F19/B19),F19/B19," - ")</f>
        <v>230</v>
      </c>
      <c r="H19" s="794">
        <f>SUBTOTAL(9,H8:H18)</f>
        <v>471</v>
      </c>
      <c r="I19" s="795">
        <f>IF(ISNUMBER(H19/B19),H19/B19," - ")</f>
        <v>117.75</v>
      </c>
    </row>
    <row r="22" spans="1:9">
      <c r="A22" s="391" t="str">
        <f>Criterios!A4</f>
        <v>Fecha Informe: 29 may. 2024</v>
      </c>
    </row>
    <row r="27" spans="1:9">
      <c r="A27" s="414"/>
    </row>
  </sheetData>
  <sheetProtection algorithmName="SHA-512" hashValue="ywg/Iby9+0ZQAYtiUZk3O33doFocaL8xOOcqwNouuPZQ6u9ptxBMUm2xhX9pK7UMpNxvzvAJPkBXvJ0Rbp18qw==" saltValue="kTy/LCyeGi3/HTmRfvLL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CIEZA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67</v>
      </c>
      <c r="D12" s="408">
        <f>IF(ISNUMBER(Datos!R12),Datos!R12," - ")</f>
        <v>3216</v>
      </c>
    </row>
    <row r="13" spans="1:4" ht="14.25" thickTop="1" thickBot="1">
      <c r="A13" s="848" t="str">
        <f>Datos!A13</f>
        <v>TOTAL</v>
      </c>
      <c r="B13" s="849">
        <f>SUBTOTAL(9,B9:B12)</f>
        <v>183</v>
      </c>
      <c r="C13" s="853">
        <f>SUBTOTAL(9,C9:C12)</f>
        <v>67</v>
      </c>
      <c r="D13" s="851">
        <f>SUBTOTAL(9,D9:D12)</f>
        <v>3241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34</v>
      </c>
      <c r="C16" s="434">
        <f>IF(ISNUMBER(Datos!Q16),Datos!Q16," - ")</f>
        <v>11</v>
      </c>
      <c r="D16" s="408">
        <f>IF(ISNUMBER(Datos!R16),Datos!R16," - ")</f>
        <v>183</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34</v>
      </c>
      <c r="C18" s="853">
        <f>SUBTOTAL(9,C15:C17)</f>
        <v>11</v>
      </c>
      <c r="D18" s="851">
        <f>SUBTOTAL(9,D15:D17)</f>
        <v>186</v>
      </c>
    </row>
    <row r="19" spans="1:4" ht="16.5" customHeight="1" thickTop="1" thickBot="1">
      <c r="A19" s="793" t="str">
        <f>Datos!A19</f>
        <v>TOTAL JURISDICCIONES</v>
      </c>
      <c r="B19" s="798">
        <f>SUBTOTAL(9,B8:B18)</f>
        <v>217</v>
      </c>
      <c r="C19" s="799">
        <f>SUBTOTAL(9,C8:C18)</f>
        <v>78</v>
      </c>
      <c r="D19" s="800">
        <f>SUBTOTAL(9,D8:D18)</f>
        <v>3427</v>
      </c>
    </row>
    <row r="20" spans="1:4" ht="7.5" customHeight="1"/>
    <row r="21" spans="1:4" ht="6" customHeight="1"/>
    <row r="22" spans="1:4">
      <c r="A22" s="391" t="str">
        <f>Criterios!A4</f>
        <v>Fecha Informe: 29 may. 2024</v>
      </c>
    </row>
    <row r="27" spans="1:4">
      <c r="A27" s="414"/>
    </row>
  </sheetData>
  <sheetProtection algorithmName="SHA-512" hashValue="ewFC1F+fx+BmZk0M3RbvJjpwnavZTgez/a09BzvUXzdD4eM0nY2q0HufIKVPrxIiyegAKIyQHUuz0Rh7PaEGXw==" saltValue="SovDaVzkg8zw7g+KKM6E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CIEZA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5.9701492537313432E-2</v>
      </c>
      <c r="C10" s="456">
        <f>IF(ISNUMBER((Datos!J10-Datos!T10)/Datos!T10),(Datos!J10-Datos!T10)/Datos!T10," - ")</f>
        <v>0.6</v>
      </c>
      <c r="D10" s="456">
        <f>IF(ISNUMBER((Datos!K10-Datos!U10)/Datos!U10),(Datos!K10-Datos!U10)/Datos!U10," - ")</f>
        <v>0.16666666666666666</v>
      </c>
      <c r="E10" s="456">
        <f>IF(ISNUMBER((Datos!L10-Datos!V10)/Datos!V10),(Datos!L10-Datos!V10)/Datos!V10," - ")</f>
        <v>0.12307692307692308</v>
      </c>
      <c r="F10" s="456">
        <f>IF(ISNUMBER((Datos!M10-Datos!W10)/Datos!W10),(Datos!M10-Datos!W10)/Datos!W10," - ")</f>
        <v>-0.4</v>
      </c>
      <c r="G10" s="457">
        <f>IF(ISNUMBER((Datos!N10-Datos!X10)/Datos!X10),(Datos!N10-Datos!X10)/Datos!X10," - ")</f>
        <v>-1</v>
      </c>
      <c r="H10" s="455">
        <f>IF(ISNUMBER(((NºAsuntos!G10/NºAsuntos!E10)-Datos!BD10)/Datos!BD10),((NºAsuntos!G10/NºAsuntos!E10)-Datos!BD10)/Datos!BD10," - ")</f>
        <v>-0.27083333333333331</v>
      </c>
      <c r="I10" s="456">
        <f>IF(ISNUMBER(((NºAsuntos!I10/NºAsuntos!G10)-Datos!BE10)/Datos!BE10),((NºAsuntos!I10/NºAsuntos!G10)-Datos!BE10)/Datos!BE10," - ")</f>
        <v>-3.7362637362637389E-2</v>
      </c>
      <c r="J10" s="461">
        <f>IF(ISNUMBER((('Resol  Asuntos'!D10/NºAsuntos!G10)-Datos!BF10)/Datos!BF10),(('Resol  Asuntos'!D10/NºAsuntos!G10)-Datos!BF10)/Datos!BF10," - ")</f>
        <v>-0.48571428571428577</v>
      </c>
      <c r="K10" s="462">
        <f>IF(ISNUMBER((((NºAsuntos!C10+NºAsuntos!E10)/NºAsuntos!G10)-Datos!BG10)/Datos!BG10),(((NºAsuntos!C10+NºAsuntos!E10)/NºAsuntos!G10)-Datos!BG10)/Datos!BG10," - ")</f>
        <v>-3.1539888682745848E-2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0.46540656205420827</v>
      </c>
      <c r="C12" s="456">
        <f>IF(ISNUMBER(
   IF(J_V="SI",(Datos!J12-Datos!T12)/Datos!T12,(Datos!J12+Datos!Z12-(Datos!T12+Datos!AH12))/(Datos!T12+Datos!AH12))
     ),IF(J_V="SI",(Datos!J12-Datos!T12)/Datos!T12,(Datos!J12+Datos!Z12-(Datos!T12+Datos!AH12))/(Datos!T12+Datos!AH12))," - ")</f>
        <v>8.7514585764294051E-2</v>
      </c>
      <c r="D12" s="456">
        <f>IF(ISNUMBER(
   IF(J_V="SI",(Datos!K12-Datos!U12)/Datos!U12,(Datos!K12+Datos!AA12-(Datos!U12+Datos!AI12))/(Datos!U12+Datos!AI12))
     ),IF(J_V="SI",(Datos!K12-Datos!U12)/Datos!U12,(Datos!K12+Datos!AA12-(Datos!U12+Datos!AI12))/(Datos!U12+Datos!AI12))," - ")</f>
        <v>0.49146757679180886</v>
      </c>
      <c r="E12" s="456">
        <f>IF(ISNUMBER(
   IF(J_V="SI",(Datos!L12-Datos!V12)/Datos!V12,(Datos!L12+Datos!AB12-(Datos!V12+Datos!AJ12))/(Datos!V12+Datos!AJ12))
     ),IF(J_V="SI",(Datos!L12-Datos!V12)/Datos!V12,(Datos!L12+Datos!AB12-(Datos!V12+Datos!AJ12))/(Datos!V12+Datos!AJ12))," - ")</f>
        <v>0.38776837996096292</v>
      </c>
      <c r="F12" s="456">
        <f>IF(ISNUMBER((Datos!M12-Datos!W12)/Datos!W12),(Datos!M12-Datos!W12)/Datos!W12," - ")</f>
        <v>4.8000000000000001E-2</v>
      </c>
      <c r="G12" s="457">
        <f>IF(ISNUMBER((Datos!N12-Datos!X12)/Datos!X12),(Datos!N12-Datos!X12)/Datos!X12," - ")</f>
        <v>0.850828729281768</v>
      </c>
      <c r="H12" s="455">
        <f>IF(ISNUMBER(((NºAsuntos!G12/NºAsuntos!E12)-Datos!BD12)/Datos!BD12),((NºAsuntos!G12/NºAsuntos!E12)-Datos!BD12)/Datos!BD12," - ")</f>
        <v>0.37144604432465672</v>
      </c>
      <c r="I12" s="456">
        <f>IF(ISNUMBER(((NºAsuntos!I12/NºAsuntos!G12)-Datos!BE12)/Datos!BE12),((NºAsuntos!I12/NºAsuntos!G12)-Datos!BE12)/Datos!BE12," - ")</f>
        <v>-6.9528294442649602E-2</v>
      </c>
      <c r="J12" s="461">
        <f>IF(ISNUMBER((('Resol  Asuntos'!D12/NºAsuntos!G12)-Datos!BF12)/Datos!BF12),(('Resol  Asuntos'!D12/NºAsuntos!G12)-Datos!BF12)/Datos!BF12," - ")</f>
        <v>-0.51473507212662939</v>
      </c>
      <c r="K12" s="462">
        <f>IF(ISNUMBER((((NºAsuntos!C12+NºAsuntos!E12)/NºAsuntos!G12)-Datos!BG12)/Datos!BG12),(((NºAsuntos!C12+NºAsuntos!E12)/NºAsuntos!G12)-Datos!BG12)/Datos!BG12," - ")</f>
        <v>-7.6784362602407674E-2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0.45593869731800768</v>
      </c>
      <c r="C13" s="855">
        <f>IF(ISNUMBER(
   IF(J_V="SI",(Datos!J13-Datos!T13)/Datos!T13,(Datos!J13+Datos!Z13-(Datos!T13+Datos!AH13))/(Datos!T13+Datos!AH13))
     ),IF(J_V="SI",(Datos!J13-Datos!T13)/Datos!T13,(Datos!J13+Datos!Z13-(Datos!T13+Datos!AH13))/(Datos!T13+Datos!AH13))," - ")</f>
        <v>9.3425605536332182E-2</v>
      </c>
      <c r="D13" s="855">
        <f>IF(ISNUMBER(
   IF(J_V="SI",(Datos!K13-Datos!U13)/Datos!U13,(Datos!K13+Datos!AA13-(Datos!U13+Datos!AI13))/(Datos!U13+Datos!AI13))
     ),IF(J_V="SI",(Datos!K13-Datos!U13)/Datos!U13,(Datos!K13+Datos!AA13-(Datos!U13+Datos!AI13))/(Datos!U13+Datos!AI13))," - ")</f>
        <v>0.48494983277591974</v>
      </c>
      <c r="E13" s="855">
        <f>IF(ISNUMBER(
   IF(J_V="SI",(Datos!L13-Datos!V13)/Datos!V13,(Datos!L13+Datos!AB13-(Datos!V13+Datos!AJ13))/(Datos!V13+Datos!AJ13))
     ),IF(J_V="SI",(Datos!L13-Datos!V13)/Datos!V13,(Datos!L13+Datos!AB13-(Datos!V13+Datos!AJ13))/(Datos!V13+Datos!AJ13))," - ")</f>
        <v>0.38228735266008285</v>
      </c>
      <c r="F13" s="856">
        <f>IF(ISNUMBER((Datos!M13-Datos!W13)/Datos!W13),(Datos!M13-Datos!W13)/Datos!W13," - ")</f>
        <v>3.0769230769230771E-2</v>
      </c>
      <c r="G13" s="857">
        <f>IF(ISNUMBER((Datos!N13-Datos!X13)/Datos!X13),(Datos!N13-Datos!X13)/Datos!X13," - ")</f>
        <v>0.84065934065934067</v>
      </c>
      <c r="H13" s="857">
        <f>IF(ISNUMBER(((NºAsuntos!G13/NºAsuntos!E13)-Datos!BD13)/Datos!BD13),((NºAsuntos!G13/NºAsuntos!E13)-Datos!BD13)/Datos!BD13," - ")</f>
        <v>0.35807120782354696</v>
      </c>
      <c r="I13" s="857">
        <f>IF(ISNUMBER(((NºAsuntos!I13/NºAsuntos!G13)-Datos!BE13)/Datos!BE13),((NºAsuntos!I13/NºAsuntos!G13)-Datos!BE13)/Datos!BE13," - ")</f>
        <v>-6.9135318816746005E-2</v>
      </c>
      <c r="J13" s="857">
        <f>IF(ISNUMBER((('Resol  Asuntos'!D13/NºAsuntos!G13)-Datos!BF13)/Datos!BF13),(('Resol  Asuntos'!D13/NºAsuntos!G13)-Datos!BF13)/Datos!BF13," - ")</f>
        <v>-0.51484549065194229</v>
      </c>
      <c r="K13" s="857">
        <f>IF(ISNUMBER((((NºAsuntos!C13+NºAsuntos!E13)/NºAsuntos!G13)-Datos!BG13)/Datos!BG13),(((NºAsuntos!C13+NºAsuntos!E13)/NºAsuntos!G13)-Datos!BG13)/Datos!BG13," - ")</f>
        <v>-7.61596267214244E-2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0.26399491094147581</v>
      </c>
      <c r="C16" s="456">
        <f>IF(ISNUMBER(
   IF(D_I="SI",(Datos!J16-Datos!T16)/Datos!T16,(Datos!J16+Datos!AD16-(Datos!T16+Datos!AL16))/(Datos!T16+Datos!AL16))
     ),IF(D_I="SI",(Datos!J16-Datos!T16)/Datos!T16,(Datos!J16+Datos!AD16-(Datos!T16+Datos!AL16))/(Datos!T16+Datos!AL16))," - ")</f>
        <v>-0.2119205298013245</v>
      </c>
      <c r="D16" s="456">
        <f>IF(ISNUMBER(
   IF(D_I="SI",(Datos!K16-Datos!U16)/Datos!U16,(Datos!K16+Datos!AE16-(Datos!U16+Datos!AM16))/(Datos!U16+Datos!AM16))
     ),IF(D_I="SI",(Datos!K16-Datos!U16)/Datos!U16,(Datos!K16+Datos!AE16-(Datos!U16+Datos!AM16))/(Datos!U16+Datos!AM16))," - ")</f>
        <v>-1.8054162487462388E-2</v>
      </c>
      <c r="E16" s="456">
        <f>IF(ISNUMBER(
   IF(D_I="SI",(Datos!L16-Datos!V16)/Datos!V16,(Datos!L16+Datos!AF16-(Datos!V16+Datos!AN16))/(Datos!V16+Datos!AN16))
     ),IF(D_I="SI",(Datos!L16-Datos!V16)/Datos!V16,(Datos!L16+Datos!AF16-(Datos!V16+Datos!AN16))/(Datos!V16+Datos!AN16))," - ")</f>
        <v>7.8002244668911341E-2</v>
      </c>
      <c r="F16" s="456">
        <f>IF(ISNUMBER((Datos!M16-Datos!W16)/Datos!W16),(Datos!M16-Datos!W16)/Datos!W16," - ")</f>
        <v>0.54255319148936165</v>
      </c>
      <c r="G16" s="457">
        <f>IF(ISNUMBER((Datos!N16-Datos!X16)/Datos!X16),(Datos!N16-Datos!X16)/Datos!X16," - ")</f>
        <v>-0.15433070866141732</v>
      </c>
      <c r="H16" s="455">
        <f>IF(ISNUMBER(((NºAsuntos!G16/NºAsuntos!E16)-Datos!BD16)/Datos!BD16),((NºAsuntos!G16/NºAsuntos!E16)-Datos!BD16)/Datos!BD16," - ")</f>
        <v>0.24599849970078294</v>
      </c>
      <c r="I16" s="456">
        <f>IF(ISNUMBER(((NºAsuntos!I16/NºAsuntos!G16)-Datos!BE16)/Datos!BE16),((NºAsuntos!I16/NºAsuntos!G16)-Datos!BE16)/Datos!BE16," - ")</f>
        <v>9.7822510658738163E-2</v>
      </c>
      <c r="J16" s="461">
        <f>IF(ISNUMBER((('Resol  Asuntos'!D16/NºAsuntos!G16)-Datos!BF16)/Datos!BF16),(('Resol  Asuntos'!D16/NºAsuntos!G16)-Datos!BF16)/Datos!BF16," - ")</f>
        <v>0.57091474148610177</v>
      </c>
      <c r="K16" s="462">
        <f>IF(ISNUMBER((((NºAsuntos!C16+NºAsuntos!E16)/NºAsuntos!G16)-Datos!BG16)/Datos!BG16),(((NºAsuntos!C16+NºAsuntos!E16)/NºAsuntos!G16)-Datos!BG16)/Datos!BG16," - ")</f>
        <v>7.6631932451995427E-2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0.68085106382978722</v>
      </c>
      <c r="C17" s="456">
        <f>IF(ISNUMBER(
   IF(D_I="SI",(Datos!J17-Datos!T17)/Datos!T17,(Datos!J17+Datos!AD17-(Datos!T17+Datos!AL17))/(Datos!T17+Datos!AL17))
     ),IF(D_I="SI",(Datos!J17-Datos!T17)/Datos!T17,(Datos!J17+Datos!AD17-(Datos!T17+Datos!AL17))/(Datos!T17+Datos!AL17))," - ")</f>
        <v>-8.5470085470085472E-2</v>
      </c>
      <c r="D17" s="456">
        <f>IF(ISNUMBER(
   IF(D_I="SI",(Datos!K17-Datos!U17)/Datos!U17,(Datos!K17+Datos!AE17-(Datos!U17+Datos!AM17))/(Datos!U17+Datos!AM17))
     ),IF(D_I="SI",(Datos!K17-Datos!U17)/Datos!U17,(Datos!K17+Datos!AE17-(Datos!U17+Datos!AM17))/(Datos!U17+Datos!AM17))," - ")</f>
        <v>9.9009900990099011E-3</v>
      </c>
      <c r="E17" s="456">
        <f>IF(ISNUMBER(
   IF(D_I="SI",(Datos!L17-Datos!V17)/Datos!V17,(Datos!L17+Datos!AF17-(Datos!V17+Datos!AN17))/(Datos!V17+Datos!AN17))
     ),IF(D_I="SI",(Datos!L17-Datos!V17)/Datos!V17,(Datos!L17+Datos!AF17-(Datos!V17+Datos!AN17))/(Datos!V17+Datos!AN17))," - ")</f>
        <v>0.48181818181818181</v>
      </c>
      <c r="F17" s="456">
        <f>IF(ISNUMBER((Datos!M17-Datos!W17)/Datos!W17),(Datos!M17-Datos!W17)/Datos!W17," - ")</f>
        <v>-5.5555555555555552E-2</v>
      </c>
      <c r="G17" s="457">
        <f>IF(ISNUMBER((Datos!N17-Datos!X17)/Datos!X17),(Datos!N17-Datos!X17)/Datos!X17," - ")</f>
        <v>-0.04</v>
      </c>
      <c r="H17" s="455">
        <f>IF(ISNUMBER(((NºAsuntos!G17/NºAsuntos!E17)-Datos!BD17)/Datos!BD17),((NºAsuntos!G17/NºAsuntos!E17)-Datos!BD17)/Datos!BD17," - ")</f>
        <v>0.10428426020172105</v>
      </c>
      <c r="I17" s="456">
        <f>IF(ISNUMBER(((NºAsuntos!I17/NºAsuntos!G17)-Datos!BE17)/Datos!BE17),((NºAsuntos!I17/NºAsuntos!G17)-Datos!BE17)/Datos!BE17," - ")</f>
        <v>0.46729055258467023</v>
      </c>
      <c r="J17" s="461">
        <f>IF(ISNUMBER((('Resol  Asuntos'!D17/NºAsuntos!G17)-Datos!BF17)/Datos!BF17),(('Resol  Asuntos'!D17/NºAsuntos!G17)-Datos!BF17)/Datos!BF17," - ")</f>
        <v>-6.4814814814814825E-2</v>
      </c>
      <c r="K17" s="462">
        <f>IF(ISNUMBER((((NºAsuntos!C17+NºAsuntos!E17)/NºAsuntos!G17)-Datos!BG17)/Datos!BG17),(((NºAsuntos!C17+NºAsuntos!E17)/NºAsuntos!G17)-Datos!BG17)/Datos!BG17," - ")</f>
        <v>0.24361118855124989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0.28751500600240099</v>
      </c>
      <c r="C18" s="855">
        <f>IF(ISNUMBER(
   IF(Criterios!B14="SI",(Datos!J18-Datos!T18)/Datos!T18,(Datos!J18+Datos!AD18-(Datos!T18+Datos!AL18))/(Datos!T18+Datos!AL18))
     ),IF(Criterios!B14="SI",(Datos!J18-Datos!T18)/Datos!T18,(Datos!J18+Datos!AD18-(Datos!T18+Datos!AL18))/(Datos!T18+Datos!AL18))," - ")</f>
        <v>-0.20075471698113206</v>
      </c>
      <c r="D18" s="855">
        <f>IF(ISNUMBER(
   IF(Criterios!B14="SI",(Datos!K18-Datos!U18)/Datos!U18,(Datos!K18+Datos!AE18-(Datos!U18+Datos!AM18))/(Datos!U18+Datos!AM18))
     ),IF(Criterios!B14="SI",(Datos!K18-Datos!U18)/Datos!U18,(Datos!K18+Datos!AE18-(Datos!U18+Datos!AM18))/(Datos!U18+Datos!AM18))," - ")</f>
        <v>-1.5482695810564663E-2</v>
      </c>
      <c r="E18" s="855">
        <f>IF(ISNUMBER(
   IF(Criterios!B14="SI",(Datos!L18-Datos!V18)/Datos!V18,(Datos!L18+Datos!AF18-(Datos!V18+Datos!AN18))/(Datos!V18+Datos!AN18))
     ),IF(Criterios!B14="SI",(Datos!L18-Datos!V18)/Datos!V18,(Datos!L18+Datos!AF18-(Datos!V18+Datos!AN18))/(Datos!V18+Datos!AN18))," - ")</f>
        <v>0.1014799154334038</v>
      </c>
      <c r="F18" s="856">
        <f>IF(ISNUMBER((Datos!M18-Datos!W18)/Datos!W18),(Datos!M18-Datos!W18)/Datos!W18," - ")</f>
        <v>0.44642857142857145</v>
      </c>
      <c r="G18" s="857">
        <f>IF(ISNUMBER((Datos!N18-Datos!X18)/Datos!X18),(Datos!N18-Datos!X18)/Datos!X18," - ")</f>
        <v>-0.145985401459854</v>
      </c>
      <c r="H18" s="857">
        <f>IF(ISNUMBER(((NºAsuntos!G18/NºAsuntos!E18)-Datos!BD18)/Datos!BD18),((NºAsuntos!G18/NºAsuntos!E18)-Datos!BD18)/Datos!BD18," - ")</f>
        <v>0.23180871392918023</v>
      </c>
      <c r="I18" s="857">
        <f>IF(ISNUMBER(((NºAsuntos!I18/NºAsuntos!G18)-Datos!BE18)/Datos!BE18),((NºAsuntos!I18/NºAsuntos!G18)-Datos!BE18)/Datos!BE18," - ")</f>
        <v>0.11880198625890592</v>
      </c>
      <c r="J18" s="857">
        <f>IF(ISNUMBER((('Resol  Asuntos'!D18/NºAsuntos!G18)-Datos!BF18)/Datos!BF18),(('Resol  Asuntos'!D18/NºAsuntos!G18)-Datos!BF18)/Datos!BF18," - ")</f>
        <v>0.4691753667239329</v>
      </c>
      <c r="K18" s="857">
        <f>IF(ISNUMBER((((NºAsuntos!C18+NºAsuntos!E18)/NºAsuntos!G18)-Datos!BG18)/Datos!BG18),(((NºAsuntos!C18+NºAsuntos!E18)/NºAsuntos!G18)-Datos!BG18)/Datos!BG18," - ")</f>
        <v>8.8059738883625879E-2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0.39409301300418781</v>
      </c>
      <c r="C19" s="802">
        <f>IF(ISNUMBER(
   IF(J_V="SI",(Datos!J19-Datos!T19)/Datos!T19,(Datos!J19+Datos!Z19-(Datos!T19+Datos!AH19))/(Datos!T19+Datos!AH19))
     ),IF(J_V="SI",(Datos!J19-Datos!T19)/Datos!T19,(Datos!J19+Datos!Z19-(Datos!T19+Datos!AH19))/(Datos!T19+Datos!AH19))," - ")</f>
        <v>-8.4397810218978103E-2</v>
      </c>
      <c r="D19" s="802">
        <f>IF(ISNUMBER(
   IF(J_V="SI",(Datos!K19-Datos!U19)/Datos!U19,(Datos!K19+Datos!AA19-(Datos!U19+Datos!AI19))/(Datos!U19+Datos!AI19))
     ),IF(J_V="SI",(Datos!K19-Datos!U19)/Datos!U19,(Datos!K19+Datos!AA19-(Datos!U19+Datos!AI19))/(Datos!U19+Datos!AI19))," - ")</f>
        <v>0.16096698113207547</v>
      </c>
      <c r="E19" s="802">
        <f>IF(ISNUMBER(
   IF(J_V="SI",(Datos!L19-Datos!V19)/Datos!V19,(Datos!L19+Datos!AB19-(Datos!V19+Datos!AJ19))/(Datos!V19+Datos!AJ19))
     ),IF(J_V="SI",(Datos!L19-Datos!V19)/Datos!V19,(Datos!L19+Datos!AB19-(Datos!V19+Datos!AJ19))/(Datos!V19+Datos!AJ19))," - ")</f>
        <v>0.27668455575432321</v>
      </c>
      <c r="F19" s="803">
        <f>IF(ISNUMBER((Datos!M19-Datos!W19)/Datos!W19),(Datos!M19-Datos!W19)/Datos!W19," - ")</f>
        <v>0.2231404958677686</v>
      </c>
      <c r="G19" s="804">
        <f>IF(ISNUMBER((Datos!N19-Datos!X19)/Datos!X19),(Datos!N19-Datos!X19)/Datos!X19," - ")</f>
        <v>6.1130334486735868E-2</v>
      </c>
      <c r="H19" s="805">
        <f>IF(ISNUMBER((Tasas!B19-Datos!BD19)/Datos!BD19),(Tasas!B19-Datos!BD19)/Datos!BD19," - ")</f>
        <v>0.26798187475909779</v>
      </c>
      <c r="I19" s="806">
        <f>IF(ISNUMBER((Tasas!C19-Datos!BE19)/Datos!BE19),(Tasas!C19-Datos!BE19)/Datos!BE19," - ")</f>
        <v>9.9673441624851269E-2</v>
      </c>
      <c r="J19" s="807">
        <f>IF(ISNUMBER((Tasas!D19-Datos!BF19)/Datos!BF19),(Tasas!D19-Datos!BF19)/Datos!BF19," - ")</f>
        <v>-0.1444299392257849</v>
      </c>
      <c r="K19" s="807">
        <f>IF(ISNUMBER((Tasas!E19-Datos!BG19)/Datos!BG19),(Tasas!E19-Datos!BG19)/Datos!BG19," - ")</f>
        <v>6.6544215847946689E-2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r89pC2sgV6K9+euvn5Q0lvwkeZ4xBVRxgGZpnG1rAXtLl0nG/9bpA3YV3GFiqnpHbK5kTMlTSxS+A2E3ACu/g==" saltValue="hNhIka++nJPp/Wuh5GrE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CIEZA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0.875</v>
      </c>
      <c r="C10" s="443">
        <f>IF(ISNUMBER(NºAsuntos!I10/NºAsuntos!G10),NºAsuntos!I10/NºAsuntos!G10," - ")</f>
        <v>5.2142857142857144</v>
      </c>
      <c r="D10" s="444">
        <f>IF(ISNUMBER('Resol  Asuntos'!D10/NºAsuntos!G10),'Resol  Asuntos'!D10/NºAsuntos!G10," - ")</f>
        <v>0.21428571428571427</v>
      </c>
      <c r="E10" s="445">
        <f>IF(ISNUMBER((NºAsuntos!C10+NºAsuntos!E10)/NºAsuntos!G10),(NºAsuntos!C10+NºAsuntos!E10)/NºAsuntos!G10," - ")</f>
        <v>6.2142857142857144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0.9377682403433476</v>
      </c>
      <c r="C12" s="443">
        <f>IF(ISNUMBER(NºAsuntos!I12/NºAsuntos!G12),NºAsuntos!I12/NºAsuntos!G12," - ")</f>
        <v>4.8810068649885583</v>
      </c>
      <c r="D12" s="444">
        <f>IF(ISNUMBER('Resol  Asuntos'!D12/NºAsuntos!G12),'Resol  Asuntos'!D12/NºAsuntos!G12," - ")</f>
        <v>0.14988558352402745</v>
      </c>
      <c r="E12" s="445">
        <f>IF(ISNUMBER((NºAsuntos!C12+NºAsuntos!E12)/NºAsuntos!G12),(NºAsuntos!C12+NºAsuntos!E12)/NºAsuntos!G12," - ")</f>
        <v>5.7677345537757434</v>
      </c>
      <c r="G12" s="463"/>
    </row>
    <row r="13" spans="1:7" ht="14.25" thickTop="1" thickBot="1">
      <c r="A13" s="848" t="str">
        <f>Datos!A13</f>
        <v>TOTAL</v>
      </c>
      <c r="B13" s="858">
        <f>IF(ISNUMBER(NºAsuntos!G13/NºAsuntos!E13),NºAsuntos!G13/NºAsuntos!E13," - ")</f>
        <v>0.93670886075949367</v>
      </c>
      <c r="C13" s="859">
        <f>IF(ISNUMBER(NºAsuntos!I13/NºAsuntos!G13),NºAsuntos!I13/NºAsuntos!G13," - ")</f>
        <v>4.8862612612612617</v>
      </c>
      <c r="D13" s="860">
        <f>IF(ISNUMBER('Resol  Asuntos'!D13/NºAsuntos!G13),'Resol  Asuntos'!D13/NºAsuntos!G13," - ")</f>
        <v>0.15090090090090091</v>
      </c>
      <c r="E13" s="861">
        <f>IF(ISNUMBER((NºAsuntos!C13+NºAsuntos!E13)/NºAsuntos!G13),(NºAsuntos!C13+NºAsuntos!E13)/NºAsuntos!G13," - ")</f>
        <v>5.7747747747747749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1.028361344537815</v>
      </c>
      <c r="C16" s="443">
        <f>IF(ISNUMBER(NºAsuntos!I16/NºAsuntos!G16),NºAsuntos!I16/NºAsuntos!G16," - ")</f>
        <v>1.9622063329928499</v>
      </c>
      <c r="D16" s="444">
        <f>IF(ISNUMBER('Resol  Asuntos'!D16/NºAsuntos!G16),'Resol  Asuntos'!D16/NºAsuntos!G16," - ")</f>
        <v>0.1481103166496425</v>
      </c>
      <c r="E16" s="445">
        <f>IF(ISNUMBER((NºAsuntos!C16+NºAsuntos!E16)/NºAsuntos!G16),(NºAsuntos!C16+NºAsuntos!E16)/NºAsuntos!G16," - ")</f>
        <v>3.0020429009193053</v>
      </c>
      <c r="G16" s="463"/>
    </row>
    <row r="17" spans="1:7" ht="13.5" thickBot="1">
      <c r="A17" s="402" t="str">
        <f>Datos!A17</f>
        <v>Jdos. Violencia contra la mujer</v>
      </c>
      <c r="B17" s="442">
        <f>IF(ISNUMBER(NºAsuntos!G17/NºAsuntos!E17),NºAsuntos!G17/NºAsuntos!E17," - ")</f>
        <v>0.95327102803738317</v>
      </c>
      <c r="C17" s="443">
        <f>IF(ISNUMBER(NºAsuntos!I17/NºAsuntos!G17),NºAsuntos!I17/NºAsuntos!G17," - ")</f>
        <v>1.5980392156862746</v>
      </c>
      <c r="D17" s="444">
        <f>IF(ISNUMBER('Resol  Asuntos'!D17/NºAsuntos!G17),'Resol  Asuntos'!D17/NºAsuntos!G17," - ")</f>
        <v>0.16666666666666666</v>
      </c>
      <c r="E17" s="445">
        <f>IF(ISNUMBER((NºAsuntos!C17+NºAsuntos!E17)/NºAsuntos!G17),(NºAsuntos!C17+NºAsuntos!E17)/NºAsuntos!G17," - ")</f>
        <v>2.5980392156862746</v>
      </c>
      <c r="G17" s="463"/>
    </row>
    <row r="18" spans="1:7" ht="14.25" thickTop="1" thickBot="1">
      <c r="A18" s="848" t="str">
        <f>Datos!A18</f>
        <v>TOTAL</v>
      </c>
      <c r="B18" s="858">
        <f>IF(ISNUMBER(NºAsuntos!G18/NºAsuntos!E18),NºAsuntos!G18/NºAsuntos!E18," - ")</f>
        <v>1.0207743153918791</v>
      </c>
      <c r="C18" s="859">
        <f>IF(ISNUMBER(NºAsuntos!I18/NºAsuntos!G18),NºAsuntos!I18/NºAsuntos!G18," - ")</f>
        <v>1.9278445883441258</v>
      </c>
      <c r="D18" s="862">
        <f>IF(ISNUMBER('Resol  Asuntos'!D18/NºAsuntos!G18),'Resol  Asuntos'!D18/NºAsuntos!G18," - ")</f>
        <v>0.14986123959296949</v>
      </c>
      <c r="E18" s="861">
        <f>IF(ISNUMBER((NºAsuntos!C18+NºAsuntos!E18)/NºAsuntos!G18),(NºAsuntos!C18+NºAsuntos!E18)/NºAsuntos!G18," - ")</f>
        <v>2.9639222941720629</v>
      </c>
      <c r="G18" s="463"/>
    </row>
    <row r="19" spans="1:7" ht="15.75" customHeight="1" thickTop="1" thickBot="1">
      <c r="A19" s="793" t="str">
        <f>Datos!A19</f>
        <v>TOTAL JURISDICCIONES</v>
      </c>
      <c r="B19" s="808">
        <f>IF(ISNUMBER(NºAsuntos!G19/NºAsuntos!E19),NºAsuntos!G19/NºAsuntos!E19," - ")</f>
        <v>0.98106626806178376</v>
      </c>
      <c r="C19" s="809">
        <f>IF(ISNUMBER(NºAsuntos!I19/NºAsuntos!G19),NºAsuntos!I19/NºAsuntos!G19," - ")</f>
        <v>3.2620619603859828</v>
      </c>
      <c r="D19" s="810">
        <f>IF(ISNUMBER('Resol  Asuntos'!D19/NºAsuntos!G19),'Resol  Asuntos'!D19/NºAsuntos!G19," - ")</f>
        <v>0.15033011681056374</v>
      </c>
      <c r="E19" s="811">
        <f>IF(ISNUMBER((NºAsuntos!C19+NºAsuntos!E19)/NºAsuntos!G19),(NºAsuntos!C19+NºAsuntos!E19)/NºAsuntos!G19," - ")</f>
        <v>4.2315896394108687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OYMLbUiV9co1reQByNWzJ6qXvWPqULEidht4tCQiT0g4LM44rqlHEoVejnf2yPLKKbFuyLhfisNIS2nR+oBDg==" saltValue="NKxeEGkCq3hLS3bkFTHD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CIEZA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71</v>
      </c>
      <c r="G10" s="333">
        <f>IF(ISNUMBER(Datos!I10),Datos!I10," - ")</f>
        <v>71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73</v>
      </c>
      <c r="AB10" s="334">
        <f>IF(ISNUMBER(Datos!R10),Datos!R10," - ")</f>
        <v>25</v>
      </c>
      <c r="AC10" s="334">
        <f t="shared" ref="AC10:AC12" si="1">IF(ISNUMBER(AA10+AB10),AA10+AB10," - ")</f>
        <v>98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0.875</v>
      </c>
      <c r="AM10" s="260">
        <f>IF(ISNUMBER(((NºAsuntos!I10/NºAsuntos!G10)*11)/factor_trimestre),((NºAsuntos!I10/NºAsuntos!G10)*11)/factor_trimestre," - ")</f>
        <v>15.642857142857144</v>
      </c>
      <c r="AN10" s="244">
        <f>IF(ISNUMBER('Resol  Asuntos'!D10/NºAsuntos!G10),'Resol  Asuntos'!D10/NºAsuntos!G10," - ")</f>
        <v>0.21428571428571427</v>
      </c>
      <c r="AO10" s="245">
        <f>IF(ISNUMBER((NºAsuntos!C10+NºAsuntos!E10)/NºAsuntos!G10),(NºAsuntos!C10+NºAsuntos!E10)/NºAsuntos!G10," - ")</f>
        <v>6.2142857142857144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67</v>
      </c>
      <c r="Y12" s="334">
        <f t="shared" si="0"/>
        <v>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131</v>
      </c>
      <c r="AJ12" s="229" t="str">
        <f>IF(ISNUMBER(Datos!BW12),Datos!BW12," - ")</f>
        <v xml:space="preserve"> - </v>
      </c>
      <c r="AK12" s="228" t="str">
        <f>IF(ISNUMBER(Datos!BX12),Datos!BX12," - ")</f>
        <v xml:space="preserve"> - </v>
      </c>
      <c r="AL12" s="243">
        <f>IF(ISNUMBER(NºAsuntos!G12/NºAsuntos!E12),NºAsuntos!G12/NºAsuntos!E12," - ")</f>
        <v>0.9377682403433476</v>
      </c>
      <c r="AM12" s="260">
        <f>IF(ISNUMBER(((NºAsuntos!I12/NºAsuntos!G12)*11)/factor_trimestre),((NºAsuntos!I12/NºAsuntos!G12)*11)/factor_trimestre," - ")</f>
        <v>14.643020594965677</v>
      </c>
      <c r="AN12" s="244">
        <f>IF(ISNUMBER('Resol  Asuntos'!D12/NºAsuntos!G12),'Resol  Asuntos'!D12/NºAsuntos!G12," - ")</f>
        <v>0.14988558352402745</v>
      </c>
      <c r="AO12" s="245">
        <f>IF(ISNUMBER((NºAsuntos!C12+NºAsuntos!E12)/NºAsuntos!G12),(NºAsuntos!C12+NºAsuntos!E12)/NºAsuntos!G12," - ")</f>
        <v>5.7677345537757434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71</v>
      </c>
      <c r="G13" s="866">
        <f t="shared" si="3"/>
        <v>71</v>
      </c>
      <c r="H13" s="865">
        <f t="shared" si="3"/>
        <v>0</v>
      </c>
      <c r="I13" s="867">
        <f t="shared" si="3"/>
        <v>0</v>
      </c>
      <c r="J13" s="867">
        <f t="shared" si="3"/>
        <v>0</v>
      </c>
      <c r="K13" s="867">
        <f t="shared" si="3"/>
        <v>0</v>
      </c>
      <c r="L13" s="867">
        <f t="shared" si="3"/>
        <v>183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67</v>
      </c>
      <c r="Y13" s="868">
        <f t="shared" si="4"/>
        <v>81</v>
      </c>
      <c r="Z13" s="868">
        <f t="shared" si="4"/>
        <v>0</v>
      </c>
      <c r="AA13" s="868">
        <f t="shared" si="4"/>
        <v>73</v>
      </c>
      <c r="AB13" s="868">
        <f t="shared" si="4"/>
        <v>3241</v>
      </c>
      <c r="AC13" s="868">
        <f t="shared" si="4"/>
        <v>98</v>
      </c>
      <c r="AD13" s="868">
        <f t="shared" si="4"/>
        <v>0</v>
      </c>
      <c r="AE13" s="872">
        <f t="shared" si="4"/>
        <v>0</v>
      </c>
      <c r="AF13" s="865">
        <f t="shared" si="4"/>
        <v>0</v>
      </c>
      <c r="AG13" s="873">
        <f t="shared" si="4"/>
        <v>0</v>
      </c>
      <c r="AH13" s="870">
        <f t="shared" si="4"/>
        <v>0</v>
      </c>
      <c r="AI13" s="865">
        <f t="shared" si="4"/>
        <v>134</v>
      </c>
      <c r="AJ13" s="867">
        <f t="shared" si="4"/>
        <v>0</v>
      </c>
      <c r="AK13" s="870">
        <f>SUBTOTAL(9,AK9:AK12)</f>
        <v>0</v>
      </c>
      <c r="AL13" s="874">
        <f>IF(ISNUMBER(NºAsuntos!G13/NºAsuntos!E13),NºAsuntos!G13/NºAsuntos!E13," - ")</f>
        <v>0.93670886075949367</v>
      </c>
      <c r="AM13" s="874">
        <f>IF(ISNUMBER(((NºAsuntos!I13/NºAsuntos!G13)*11)/factor_trimestre),((NºAsuntos!I13/NºAsuntos!G13)*11)/factor_trimestre," - ")</f>
        <v>14.658783783783784</v>
      </c>
      <c r="AN13" s="875">
        <f>IF(ISNUMBER('Resol  Asuntos'!D13/NºAsuntos!G13),'Resol  Asuntos'!D13/NºAsuntos!G13," - ")</f>
        <v>0.15090090090090091</v>
      </c>
      <c r="AO13" s="876">
        <f>IF(ISNUMBER((NºAsuntos!C13+NºAsuntos!E13)/NºAsuntos!G13),(NºAsuntos!C13+NºAsuntos!E13)/NºAsuntos!G13," - ")</f>
        <v>5.7747747747747749</v>
      </c>
      <c r="AP13" s="877" t="str">
        <f t="shared" si="2"/>
        <v xml:space="preserve"> - </v>
      </c>
      <c r="AQ13" s="877">
        <f>IF(ISNUMBER((H13-W13+K13)/(F13)),(H13-W13+K13)/(F13)," - ")</f>
        <v>-0.19718309859154928</v>
      </c>
      <c r="AR13" s="878">
        <f>IF(ISNUMBER((Datos!P13-Datos!Q13)/(Datos!R13-Datos!P13+Datos!Q13)),(Datos!P13-Datos!Q13)/(Datos!R13-Datos!P13+Datos!Q13)," - ")</f>
        <v>3.712E-2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1948</v>
      </c>
      <c r="G16" s="333">
        <f>IF(ISNUMBER(IF(D_I="SI",Datos!I16,Datos!I16+Datos!AC16)),IF(D_I="SI",Datos!I16,Datos!I16+Datos!AC16)," - ")</f>
        <v>1987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979</v>
      </c>
      <c r="X16" s="226">
        <f>IF(ISNUMBER(Datos!Q16),Datos!Q16," - ")</f>
        <v>11</v>
      </c>
      <c r="Y16" s="334">
        <f t="shared" ref="Y16:Y17" si="7">SUM(W16:X16)</f>
        <v>990</v>
      </c>
      <c r="Z16" s="335" t="str">
        <f>IF(ISNUMBER(Datos!CC16),Datos!CC16," - ")</f>
        <v xml:space="preserve"> - </v>
      </c>
      <c r="AA16" s="332">
        <f>IF(ISNUMBER(IF(D_I="SI",Datos!L16,Datos!L16+Datos!AF16)),IF(D_I="SI",Datos!L16,Datos!L16+Datos!AF16)," - ")</f>
        <v>1921</v>
      </c>
      <c r="AB16" s="334">
        <f>IF(ISNUMBER(Datos!R16),Datos!R16," - ")</f>
        <v>183</v>
      </c>
      <c r="AC16" s="334">
        <f t="shared" si="6"/>
        <v>2104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145</v>
      </c>
      <c r="AJ16" s="231" t="str">
        <f>IF(ISNUMBER(Datos!BW16),Datos!BW16," - ")</f>
        <v xml:space="preserve"> - </v>
      </c>
      <c r="AK16" s="232" t="str">
        <f>IF(ISNUMBER(Datos!BX16),Datos!BX16," - ")</f>
        <v xml:space="preserve"> - </v>
      </c>
      <c r="AL16" s="243">
        <f>IF(ISNUMBER(NºAsuntos!G16/NºAsuntos!E16),NºAsuntos!G16/NºAsuntos!E16," - ")</f>
        <v>1.028361344537815</v>
      </c>
      <c r="AM16" s="260">
        <f>IF(ISNUMBER(((NºAsuntos!I16/NºAsuntos!G16)*11)/factor_trimestre),((NºAsuntos!I16/NºAsuntos!G16)*11)/factor_trimestre," - ")</f>
        <v>5.8866189989785491</v>
      </c>
      <c r="AN16" s="244">
        <f>IF(ISNUMBER('Resol  Asuntos'!D16/NºAsuntos!G16),'Resol  Asuntos'!D16/NºAsuntos!G16," - ")</f>
        <v>0.1481103166496425</v>
      </c>
      <c r="AO16" s="245">
        <f>IF(ISNUMBER((NºAsuntos!C16+NºAsuntos!E16)/NºAsuntos!G16),(NºAsuntos!C16+NºAsuntos!E16)/NºAsuntos!G16," - ")</f>
        <v>3.0020429009193053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102</v>
      </c>
      <c r="X17" s="226">
        <f>IF(ISNUMBER(Datos!Q17),Datos!Q17," - ")</f>
        <v>0</v>
      </c>
      <c r="Y17" s="334">
        <f t="shared" si="7"/>
        <v>102</v>
      </c>
      <c r="Z17" s="335" t="str">
        <f>IF(ISNUMBER(Datos!CC17),Datos!CC17," - ")</f>
        <v xml:space="preserve"> - </v>
      </c>
      <c r="AA17" s="332">
        <f>IF(ISNUMBER(Datos!L17),Datos!L17,"-")</f>
        <v>163</v>
      </c>
      <c r="AB17" s="334">
        <f>IF(ISNUMBER(Datos!R17),Datos!R17," - ")</f>
        <v>3</v>
      </c>
      <c r="AC17" s="334">
        <f t="shared" si="6"/>
        <v>166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0.95327102803738317</v>
      </c>
      <c r="AM17" s="260">
        <f>IF(ISNUMBER(((NºAsuntos!I17/NºAsuntos!G17)*11)/factor_trimestre),((NºAsuntos!I17/NºAsuntos!G17)*11)/factor_trimestre," - ")</f>
        <v>4.7941176470588234</v>
      </c>
      <c r="AN17" s="244">
        <f>IF(ISNUMBER('Resol  Asuntos'!D17/NºAsuntos!G17),'Resol  Asuntos'!D17/NºAsuntos!G17," - ")</f>
        <v>0.16666666666666666</v>
      </c>
      <c r="AO17" s="245">
        <f>IF(ISNUMBER((NºAsuntos!C17+NºAsuntos!E17)/NºAsuntos!G17),(NºAsuntos!C17+NºAsuntos!E17)/NºAsuntos!G17," - ")</f>
        <v>2.5980392156862746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1948</v>
      </c>
      <c r="G18" s="866">
        <f>SUBTOTAL(9,G15:G17)</f>
        <v>2145</v>
      </c>
      <c r="H18" s="865">
        <f t="shared" ref="H18:O18" si="10">SUBTOTAL(9,H14:H17)</f>
        <v>0</v>
      </c>
      <c r="I18" s="867">
        <f t="shared" si="10"/>
        <v>0</v>
      </c>
      <c r="J18" s="867">
        <f t="shared" si="10"/>
        <v>0</v>
      </c>
      <c r="K18" s="867">
        <f t="shared" si="10"/>
        <v>0</v>
      </c>
      <c r="L18" s="867">
        <f t="shared" si="10"/>
        <v>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1081</v>
      </c>
      <c r="X18" s="867">
        <f t="shared" si="11"/>
        <v>11</v>
      </c>
      <c r="Y18" s="868">
        <f t="shared" si="11"/>
        <v>1092</v>
      </c>
      <c r="Z18" s="868">
        <f t="shared" si="11"/>
        <v>0</v>
      </c>
      <c r="AA18" s="868">
        <f t="shared" si="11"/>
        <v>2084</v>
      </c>
      <c r="AB18" s="868">
        <f t="shared" si="11"/>
        <v>186</v>
      </c>
      <c r="AC18" s="868">
        <f t="shared" si="11"/>
        <v>2270</v>
      </c>
      <c r="AD18" s="868">
        <f t="shared" si="11"/>
        <v>0</v>
      </c>
      <c r="AE18" s="872">
        <f t="shared" si="11"/>
        <v>0</v>
      </c>
      <c r="AF18" s="865">
        <f t="shared" si="11"/>
        <v>0</v>
      </c>
      <c r="AG18" s="873">
        <f t="shared" si="11"/>
        <v>0</v>
      </c>
      <c r="AH18" s="870">
        <f t="shared" si="11"/>
        <v>0</v>
      </c>
      <c r="AI18" s="865">
        <f t="shared" si="11"/>
        <v>162</v>
      </c>
      <c r="AJ18" s="867">
        <f t="shared" si="11"/>
        <v>0</v>
      </c>
      <c r="AK18" s="870">
        <f t="shared" si="11"/>
        <v>0</v>
      </c>
      <c r="AL18" s="874">
        <f>IF(ISNUMBER(NºAsuntos!G18/NºAsuntos!E18),NºAsuntos!G18/NºAsuntos!E18," - ")</f>
        <v>1.0207743153918791</v>
      </c>
      <c r="AM18" s="874">
        <f>IF(ISNUMBER(((NºAsuntos!I18/NºAsuntos!G18)*11)/factor_trimestre),((NºAsuntos!I18/NºAsuntos!G18)*11)/factor_trimestre," - ")</f>
        <v>5.7835337650323773</v>
      </c>
      <c r="AN18" s="875">
        <f>IF(ISNUMBER('Resol  Asuntos'!D18/NºAsuntos!G18),'Resol  Asuntos'!D18/NºAsuntos!G18," - ")</f>
        <v>0.14986123959296949</v>
      </c>
      <c r="AO18" s="876">
        <f>IF(ISNUMBER((NºAsuntos!C18+NºAsuntos!E18)/NºAsuntos!G18),(NºAsuntos!C18+NºAsuntos!E18)/NºAsuntos!G18," - ")</f>
        <v>2.9639222941720629</v>
      </c>
      <c r="AP18" s="877" t="str">
        <f t="shared" si="2"/>
        <v xml:space="preserve"> - </v>
      </c>
      <c r="AQ18" s="877">
        <f>IF(ISNUMBER((H18-W18+K18)/(F18)),(H18-W18+K18)/(F18)," - ")</f>
        <v>-0.55492813141683783</v>
      </c>
      <c r="AR18" s="878">
        <f>IF(ISNUMBER((Datos!P18-Datos!Q18)/(Datos!R18-Datos!P18+Datos!Q18)),(Datos!P18-Datos!Q18)/(Datos!R18-Datos!P18+Datos!Q18)," - ")</f>
        <v>0.1411042944785276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2019</v>
      </c>
      <c r="G19" s="821">
        <f t="shared" si="13"/>
        <v>2216</v>
      </c>
      <c r="H19" s="820">
        <f t="shared" si="13"/>
        <v>0</v>
      </c>
      <c r="I19" s="822">
        <f t="shared" si="13"/>
        <v>0</v>
      </c>
      <c r="J19" s="822">
        <f t="shared" si="13"/>
        <v>0</v>
      </c>
      <c r="K19" s="881">
        <f t="shared" si="13"/>
        <v>0</v>
      </c>
      <c r="L19" s="822">
        <f t="shared" si="13"/>
        <v>217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1095</v>
      </c>
      <c r="X19" s="821">
        <f t="shared" si="14"/>
        <v>78</v>
      </c>
      <c r="Y19" s="828">
        <f t="shared" si="14"/>
        <v>1173</v>
      </c>
      <c r="Z19" s="828">
        <f t="shared" si="14"/>
        <v>0</v>
      </c>
      <c r="AA19" s="828">
        <f t="shared" si="14"/>
        <v>2157</v>
      </c>
      <c r="AB19" s="828">
        <f t="shared" si="14"/>
        <v>3427</v>
      </c>
      <c r="AC19" s="828">
        <f t="shared" si="14"/>
        <v>2368</v>
      </c>
      <c r="AD19" s="828">
        <f t="shared" si="14"/>
        <v>0</v>
      </c>
      <c r="AE19" s="830">
        <f t="shared" si="14"/>
        <v>0</v>
      </c>
      <c r="AF19" s="831">
        <f t="shared" si="14"/>
        <v>0</v>
      </c>
      <c r="AG19" s="832">
        <f t="shared" si="14"/>
        <v>0</v>
      </c>
      <c r="AH19" s="830">
        <f t="shared" si="14"/>
        <v>0</v>
      </c>
      <c r="AI19" s="820">
        <f t="shared" si="14"/>
        <v>296</v>
      </c>
      <c r="AJ19" s="820">
        <f t="shared" si="14"/>
        <v>0</v>
      </c>
      <c r="AK19" s="830">
        <f t="shared" si="14"/>
        <v>0</v>
      </c>
      <c r="AL19" s="884">
        <f>IF(ISNUMBER(NºAsuntos!G19/NºAsuntos!E19),NºAsuntos!G19/NºAsuntos!E19," - ")</f>
        <v>0.98106626806178376</v>
      </c>
      <c r="AM19" s="885">
        <f>IF(ISNUMBER(((NºAsuntos!I19/NºAsuntos!G19)*11)/factor_trimestre),((NºAsuntos!I19/NºAsuntos!G19)*11)/factor_trimestre," - ")</f>
        <v>9.7861858811579499</v>
      </c>
      <c r="AN19" s="885">
        <f>IF(ISNUMBER('Resol  Asuntos'!D19/NºAsuntos!G19),'Resol  Asuntos'!D19/NºAsuntos!G19," - ")</f>
        <v>0.15033011681056374</v>
      </c>
      <c r="AO19" s="886">
        <f>IF(ISNUMBER((NºAsuntos!C19+NºAsuntos!E19)/NºAsuntos!G19),(NºAsuntos!C19+NºAsuntos!E19)/NºAsuntos!G19," - ")</f>
        <v>4.2315896394108687</v>
      </c>
      <c r="AP19" s="887" t="str">
        <f t="shared" si="2"/>
        <v xml:space="preserve"> - </v>
      </c>
      <c r="AQ19" s="888">
        <f>IF(OR(ISNUMBER(FIND("01",Criterios!A8,1)),ISNUMBER(FIND("02",Criterios!A8,1)),ISNUMBER(FIND("03",Criterios!A8,1)),ISNUMBER(FIND("04",Criterios!A8,1))),(I19-W19+K19)/(F19-K19),(H19-W19+K19)/(F19-K19))</f>
        <v>-0.54234769687964335</v>
      </c>
      <c r="AR19" s="889">
        <f>IF(ISNUMBER((Datos!P19-Datos!Q19)/(Datos!R19-Datos!P19+Datos!Q19)),(Datos!P19-Datos!Q19)/(Datos!R19-Datos!P19+Datos!Q19)," - ")</f>
        <v>4.2274939172749389E-2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1083.6864552689276</v>
      </c>
      <c r="G21" s="253">
        <f>IF(ISNUMBER(STDEV(G8:G18)),STDEV(G8:G18),"-")</f>
        <v>1078.8553193083862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542.81166162859836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69.675438044311335</v>
      </c>
      <c r="AJ21" s="252">
        <f t="shared" si="18"/>
        <v>0</v>
      </c>
      <c r="AK21" s="254">
        <f t="shared" si="18"/>
        <v>0</v>
      </c>
      <c r="AL21" s="249">
        <f t="shared" si="18"/>
        <v>5.7728362861395398E-2</v>
      </c>
      <c r="AM21" s="250">
        <f t="shared" si="18"/>
        <v>5.2263294379206702</v>
      </c>
      <c r="AN21" s="250">
        <f t="shared" si="18"/>
        <v>2.5907092301953781E-2</v>
      </c>
      <c r="AO21" s="251">
        <f t="shared" si="18"/>
        <v>1.6920376228580996</v>
      </c>
      <c r="AP21" s="291" t="str">
        <f t="shared" si="18"/>
        <v>-</v>
      </c>
      <c r="AQ21" s="292">
        <f t="shared" si="18"/>
        <v>0.25296393864656563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PS0z11080jdV0JhADgMv+0BsfOhYQcuRHj8Pp0dYxplZnjuZ/C2mcsnqWRDh8h2p6kf8BoQfjwK38WsgUBhdw==" saltValue="K3BjLjNkus4z7dcOC60/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CIEZA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5.9701492537313432E-2</v>
      </c>
      <c r="E10" s="348">
        <f>IF(ISNUMBER((Datos!J10-Datos!T10)/Datos!T10),(Datos!J10-Datos!T10)/Datos!T10," - ")</f>
        <v>0.6</v>
      </c>
      <c r="F10" s="348">
        <f>IF(ISNUMBER((Datos!K10-Datos!U10)/Datos!U10),(Datos!K10-Datos!U10)/Datos!U10," - ")</f>
        <v>0.16666666666666666</v>
      </c>
      <c r="G10" s="349">
        <f>IF(ISNUMBER((Datos!L10-Datos!V10)/Datos!V10),(Datos!L10-Datos!V10)/Datos!V10," - ")</f>
        <v>0.12307692307692308</v>
      </c>
      <c r="H10" s="230">
        <f>IF(ISNUMBER((Datos!M10-Datos!W10)/Datos!W10),(Datos!M10-Datos!W10)/Datos!W10," - ")</f>
        <v>-0.4</v>
      </c>
      <c r="I10" s="350">
        <f>IF(ISNUMBER((Tasas!C10-Datos!BE10)/Datos!BE10),(Tasas!C10-Datos!BE10)/Datos!BE10," - ")</f>
        <v>-3.7362637362637389E-2</v>
      </c>
      <c r="J10" s="349">
        <f>IF(ISNUMBER((Tasas!D10-Datos!BF10)/Datos!BF10),(Tasas!D10-Datos!BF10)/Datos!BF10," - ")</f>
        <v>-0.48571428571428577</v>
      </c>
      <c r="K10" s="351">
        <f>IF(ISNUMBER((Tasas!E10-Datos!BG10)/Datos!BG10),(Tasas!E10-Datos!BG10)/Datos!BG10," - ")</f>
        <v>-3.1539888682745848E-2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4.8000000000000001E-2</v>
      </c>
      <c r="I12" s="350">
        <f>IF(ISNUMBER((Tasas!C12-Datos!BE12)/Datos!BE12),(Tasas!C12-Datos!BE12)/Datos!BE12," - ")</f>
        <v>-6.9528294442649602E-2</v>
      </c>
      <c r="J12" s="349">
        <f>IF(ISNUMBER((Tasas!D12-Datos!BF12)/Datos!BF12),(Tasas!D12-Datos!BF12)/Datos!BF12," - ")</f>
        <v>-0.51473507212662939</v>
      </c>
      <c r="K12" s="351">
        <f>IF(ISNUMBER((Tasas!E12-Datos!BG12)/Datos!BG12),(Tasas!E12-Datos!BG12)/Datos!BG12," - ")</f>
        <v>-7.6784362602407674E-2</v>
      </c>
      <c r="M12" t="e">
        <f>IF(Monitorios="SI",Datos!CE12,0)</f>
        <v>#REF!</v>
      </c>
      <c r="N12" t="e">
        <f>IF(Monitorios="SI",Datos!CF12,0)</f>
        <v>#REF!</v>
      </c>
      <c r="O12" t="e">
        <f>IF(Monitorios="SI",Datos!CG12,0)</f>
        <v>#REF!</v>
      </c>
      <c r="P12" t="e">
        <f>IF(Monitorios="SI",Datos!CH12,0)</f>
        <v>#REF!</v>
      </c>
      <c r="Q12">
        <f>IF(J_V="SI",0,Datos!AG12)</f>
        <v>128</v>
      </c>
      <c r="R12">
        <f>IF(J_V="SI",0,Datos!AH12)</f>
        <v>65</v>
      </c>
      <c r="S12">
        <f>IF(J_V="SI",0,Datos!AI12)</f>
        <v>64</v>
      </c>
      <c r="T12">
        <f>IF(J_V="SI",0,Datos!AJ12)</f>
        <v>129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3.0769230769230771E-2</v>
      </c>
      <c r="I13" s="357">
        <f>IF(ISNUMBER((Tasas!C13-Datos!BE13)/Datos!BE13),(Tasas!C13-Datos!BE13)/Datos!BE13," - ")</f>
        <v>-6.9135318816746005E-2</v>
      </c>
      <c r="J13" s="355">
        <f>IF(ISNUMBER((Tasas!D13-Datos!BF13)/Datos!BF13),(Tasas!D13-Datos!BF13)/Datos!BF13," - ")</f>
        <v>-0.51484549065194229</v>
      </c>
      <c r="K13" s="358">
        <f>IF(ISNUMBER((Tasas!E13-Datos!BG13)/Datos!BG13),(Tasas!E13-Datos!BG13)/Datos!BG13," - ")</f>
        <v>-7.61596267214244E-2</v>
      </c>
      <c r="M13" t="e">
        <f>IF(Monitorios="SI",Datos!CE13,0)</f>
        <v>#REF!</v>
      </c>
      <c r="N13" t="e">
        <f>IF(Monitorios="SI",Datos!CF13,0)</f>
        <v>#REF!</v>
      </c>
      <c r="O13" t="e">
        <f>IF(Monitorios="SI",Datos!CG13,0)</f>
        <v>#REF!</v>
      </c>
      <c r="P13" t="e">
        <f>IF(Monitorios="SI",Datos!CH13,0)</f>
        <v>#REF!</v>
      </c>
      <c r="Q13">
        <f>IF(J_V="SI",0,Datos!AG13)</f>
        <v>128</v>
      </c>
      <c r="R13">
        <f>IF(J_V="SI",0,Datos!AH13)</f>
        <v>65</v>
      </c>
      <c r="S13">
        <f>IF(J_V="SI",0,Datos!AI13)</f>
        <v>64</v>
      </c>
      <c r="T13">
        <f>IF(J_V="SI",0,Datos!AJ13)</f>
        <v>129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0.26399491094147581</v>
      </c>
      <c r="E16" s="348">
        <f>IF(ISNUMBER(
   IF(D_I="SI",(Datos!J16-Datos!T16)/Datos!T16,(Datos!J16+Datos!AD16-(Datos!T16+Datos!AL16))/(Datos!T16+Datos!AL16))
     ),IF(D_I="SI",(Datos!J16-Datos!T16)/Datos!T16,(Datos!J16+Datos!AD16-(Datos!T16+Datos!AL16))/(Datos!T16+Datos!AL16))," - ")</f>
        <v>-0.2119205298013245</v>
      </c>
      <c r="F16" s="348">
        <f>IF(ISNUMBER(
   IF(D_I="SI",(Datos!K16-Datos!U16)/Datos!U16,(Datos!K16+Datos!AE16-(Datos!U16+Datos!AM16))/(Datos!U16+Datos!AM16))
     ),IF(D_I="SI",(Datos!K16-Datos!U16)/Datos!U16,(Datos!K16+Datos!AE16-(Datos!U16+Datos!AM16))/(Datos!U16+Datos!AM16))," - ")</f>
        <v>-1.8054162487462388E-2</v>
      </c>
      <c r="G16" s="349">
        <f>IF(ISNUMBER(
   IF(D_I="SI",(Datos!L16-Datos!V16)/Datos!V16,(Datos!L16+Datos!AF16-(Datos!V16+Datos!AN16))/(Datos!V16+Datos!AN16))
     ),IF(D_I="SI",(Datos!L16-Datos!V16)/Datos!V16,(Datos!L16+Datos!AF16-(Datos!V16+Datos!AN16))/(Datos!V16+Datos!AN16))," - ")</f>
        <v>7.8002244668911341E-2</v>
      </c>
      <c r="H16" s="230">
        <f>IF(ISNUMBER((Datos!M16-Datos!W16)/Datos!W16),(Datos!M16-Datos!W16)/Datos!W16," - ")</f>
        <v>0.54255319148936165</v>
      </c>
      <c r="I16" s="350">
        <f>IF(ISNUMBER((Tasas!C16-Datos!BE16)/Datos!BE16),(Tasas!C16-Datos!BE16)/Datos!BE16," - ")</f>
        <v>9.7822510658738163E-2</v>
      </c>
      <c r="J16" s="349">
        <f>IF(ISNUMBER((Tasas!D16-Datos!BF16)/Datos!BF16),(Tasas!D16-Datos!BF16)/Datos!BF16," - ")</f>
        <v>0.57091474148610177</v>
      </c>
      <c r="K16" s="351">
        <f>IF(ISNUMBER((Tasas!E16-Datos!BG16)/Datos!BG16),(Tasas!E16-Datos!BG16)/Datos!BG16," - ")</f>
        <v>7.6631932451995427E-2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0.68085106382978722</v>
      </c>
      <c r="E17" s="348">
        <f>IF(ISNUMBER(
   IF(D_I="SI",(Datos!J17-Datos!T17)/Datos!T17,(Datos!J17+Datos!AD17-(Datos!T17+Datos!AL17))/(Datos!T17+Datos!AL17))
     ),IF(D_I="SI",(Datos!J17-Datos!T17)/Datos!T17,(Datos!J17+Datos!AD17-(Datos!T17+Datos!AL17))/(Datos!T17+Datos!AL17))," - ")</f>
        <v>-8.5470085470085472E-2</v>
      </c>
      <c r="F17" s="348">
        <f>IF(ISNUMBER(
   IF(D_I="SI",(Datos!K17-Datos!U17)/Datos!U17,(Datos!K17+Datos!AE17-(Datos!U17+Datos!AM17))/(Datos!U17+Datos!AM17))
     ),IF(D_I="SI",(Datos!K17-Datos!U17)/Datos!U17,(Datos!K17+Datos!AE17-(Datos!U17+Datos!AM17))/(Datos!U17+Datos!AM17))," - ")</f>
        <v>9.9009900990099011E-3</v>
      </c>
      <c r="G17" s="349">
        <f>IF(ISNUMBER(
   IF(D_I="SI",(Datos!L17-Datos!V17)/Datos!V17,(Datos!L17+Datos!AF17-(Datos!V17+Datos!AN17))/(Datos!V17+Datos!AN17))
     ),IF(D_I="SI",(Datos!L17-Datos!V17)/Datos!V17,(Datos!L17+Datos!AF17-(Datos!V17+Datos!AN17))/(Datos!V17+Datos!AN17))," - ")</f>
        <v>0.48181818181818181</v>
      </c>
      <c r="H17" s="230">
        <f>IF(ISNUMBER((Datos!M17-Datos!W17)/Datos!W17),(Datos!M17-Datos!W17)/Datos!W17," - ")</f>
        <v>-5.5555555555555552E-2</v>
      </c>
      <c r="I17" s="350">
        <f>IF(ISNUMBER((Tasas!C17-Datos!BE17)/Datos!BE17),(Tasas!C17-Datos!BE17)/Datos!BE17," - ")</f>
        <v>0.46729055258467023</v>
      </c>
      <c r="J17" s="349">
        <f>IF(ISNUMBER((Tasas!D17-Datos!BF17)/Datos!BF17),(Tasas!D17-Datos!BF17)/Datos!BF17," - ")</f>
        <v>-6.4814814814814825E-2</v>
      </c>
      <c r="K17" s="351">
        <f>IF(ISNUMBER((Tasas!E17-Datos!BG17)/Datos!BG17),(Tasas!E17-Datos!BG17)/Datos!BG17," - ")</f>
        <v>0.24361118855124989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0.28751500600240099</v>
      </c>
      <c r="E18" s="354">
        <f>IF(ISNUMBER(
   IF(D_I="SI",(Datos!J18-Datos!T18)/Datos!T18,(Datos!J18+Datos!AD18-(Datos!T18+Datos!AL18))/(Datos!T18+Datos!AL18))
     ),IF(D_I="SI",(Datos!J18-Datos!T18)/Datos!T18,(Datos!J18+Datos!AD18-(Datos!T18+Datos!AL18))/(Datos!T18+Datos!AL18))," - ")</f>
        <v>-0.20075471698113206</v>
      </c>
      <c r="F18" s="354">
        <f>IF(ISNUMBER(
   IF(D_I="SI",(Datos!K18-Datos!U18)/Datos!U18,(Datos!K18+Datos!AE18-(Datos!U18+Datos!AM18))/(Datos!U18+Datos!AM18))
     ),IF(D_I="SI",(Datos!K18-Datos!U18)/Datos!U18,(Datos!K18+Datos!AE18-(Datos!U18+Datos!AM18))/(Datos!U18+Datos!AM18))," - ")</f>
        <v>-1.5482695810564663E-2</v>
      </c>
      <c r="G18" s="355">
        <f>IF(ISNUMBER(
   IF(D_I="SI",(Datos!L18-Datos!V18)/Datos!V18,(Datos!L18+Datos!AF18-(Datos!V18+Datos!AN18))/(Datos!V18+Datos!AN18))
     ),IF(D_I="SI",(Datos!L18-Datos!V18)/Datos!V18,(Datos!L18+Datos!AF18-(Datos!V18+Datos!AN18))/(Datos!V18+Datos!AN18))," - ")</f>
        <v>0.1014799154334038</v>
      </c>
      <c r="H18" s="356">
        <f>IF(ISNUMBER((Datos!M18-Datos!W18)/Datos!W18),(Datos!M18-Datos!W18)/Datos!W18," - ")</f>
        <v>0.44642857142857145</v>
      </c>
      <c r="I18" s="357">
        <f>IF(ISNUMBER((Tasas!C18-Datos!BE18)/Datos!BE18),(Tasas!C18-Datos!BE18)/Datos!BE18," - ")</f>
        <v>0.11880198625890592</v>
      </c>
      <c r="J18" s="355">
        <f>IF(ISNUMBER((Tasas!D18-Datos!BF18)/Datos!BF18),(Tasas!D18-Datos!BF18)/Datos!BF18," - ")</f>
        <v>0.4691753667239329</v>
      </c>
      <c r="K18" s="358">
        <f>IF(ISNUMBER((Tasas!E18-Datos!BG18)/Datos!BG18),(Tasas!E18-Datos!BG18)/Datos!BG18," - ")</f>
        <v>8.8059738883625879E-2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0.39409301300418781</v>
      </c>
      <c r="E19" s="363">
        <f>IF(ISNUMBER(
   IF(J_V="SI",(Datos!J19-Datos!T19)/Datos!T19,(Datos!J19+Datos!Z19-(Datos!T19+Datos!AH19))/(Datos!T19+Datos!AH19))
     ),IF(J_V="SI",(Datos!J19-Datos!T19)/Datos!T19,(Datos!J19+Datos!Z19-(Datos!T19+Datos!AH19))/(Datos!T19+Datos!AH19))," - ")</f>
        <v>-8.4397810218978103E-2</v>
      </c>
      <c r="F19" s="363">
        <f>IF(ISNUMBER(
   IF(J_V="SI",(Datos!K19-Datos!U19)/Datos!U19,(Datos!K19+Datos!AA19-(Datos!U19+Datos!AI19))/(Datos!U19+Datos!AI19))
     ),IF(J_V="SI",(Datos!K19-Datos!U19)/Datos!U19,(Datos!K19+Datos!AA19-(Datos!U19+Datos!AI19))/(Datos!U19+Datos!AI19))," - ")</f>
        <v>0.16096698113207547</v>
      </c>
      <c r="G19" s="364">
        <f>IF(ISNUMBER(
   IF(J_V="SI",(Datos!L19-Datos!V19)/Datos!V19,(Datos!L19+Datos!AB19-(Datos!V19+Datos!AJ19))/(Datos!V19+Datos!AJ19))
     ),IF(J_V="SI",(Datos!L19-Datos!V19)/Datos!V19,(Datos!L19+Datos!AB19-(Datos!V19+Datos!AJ19))/(Datos!V19+Datos!AJ19))," - ")</f>
        <v>0.27668455575432321</v>
      </c>
      <c r="H19" s="365">
        <f>IF(ISNUMBER((Datos!M19-Datos!W19)/Datos!W19),(Datos!M19-Datos!W19)/Datos!W19," - ")</f>
        <v>0.2231404958677686</v>
      </c>
      <c r="I19" s="362">
        <f>IF(ISNUMBER((Tasas!C19-Datos!BE19)/Datos!BE19),(Tasas!C19-Datos!BE19)/Datos!BE19," - ")</f>
        <v>9.9673441624851269E-2</v>
      </c>
      <c r="J19" s="363">
        <f>IF(ISNUMBER((Tasas!D19-Datos!BF19)/Datos!BF19),(Tasas!D19-Datos!BF19)/Datos!BF19," - ")</f>
        <v>-0.1444299392257849</v>
      </c>
      <c r="K19" s="364">
        <f>IF(ISNUMBER((Tasas!E19-Datos!BG19)/Datos!BG19),(Tasas!E19-Datos!BG19)/Datos!BG19," - ")</f>
        <v>6.6544215847946689E-2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0.25956647977879982</v>
      </c>
      <c r="E21" s="278">
        <f t="shared" si="1"/>
        <v>0.3872657612528404</v>
      </c>
      <c r="F21" s="278">
        <f t="shared" si="1"/>
        <v>8.8179781711061361E-2</v>
      </c>
      <c r="G21" s="279">
        <f t="shared" si="1"/>
        <v>0.19136987682949877</v>
      </c>
      <c r="H21" s="285">
        <f t="shared" si="1"/>
        <v>0.34569805453702079</v>
      </c>
      <c r="I21" s="277">
        <f t="shared" si="1"/>
        <v>0.2049690806443123</v>
      </c>
      <c r="J21" s="278">
        <f t="shared" si="1"/>
        <v>0.5035083014397348</v>
      </c>
      <c r="K21" s="279">
        <f t="shared" si="1"/>
        <v>0.12435040604946578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wijL7nfXboAK5iLARb4MiW84WpejnLln0QGTisheTLZB5XaXwrdhk62z5CWr0+NagqRvO5g0z7nugLfvLUdAQ==" saltValue="Ccf3sRpk1nOQLPvLQDuC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